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.pereira\Downloads\"/>
    </mc:Choice>
  </mc:AlternateContent>
  <bookViews>
    <workbookView xWindow="0" yWindow="0" windowWidth="28800" windowHeight="12210"/>
  </bookViews>
  <sheets>
    <sheet name="Calculadora" sheetId="1" r:id="rId1"/>
    <sheet name="Desconto salarial" sheetId="2" r:id="rId2"/>
    <sheet name="13°" sheetId="3" r:id="rId3"/>
    <sheet name="Férias" sheetId="4" r:id="rId4"/>
    <sheet name="Demissão" sheetId="5" r:id="rId5"/>
    <sheet name="Demitido" sheetId="6" r:id="rId6"/>
    <sheet name="Acordo" sheetId="7" r:id="rId7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7" l="1"/>
  <c r="B44" i="7" s="1"/>
  <c r="I70" i="1" s="1"/>
  <c r="B29" i="7"/>
  <c r="B6" i="7"/>
  <c r="B36" i="7" s="1"/>
  <c r="B5" i="7"/>
  <c r="B25" i="7" s="1"/>
  <c r="B3" i="7"/>
  <c r="B14" i="7" s="1"/>
  <c r="B2" i="7"/>
  <c r="B43" i="6"/>
  <c r="B42" i="6"/>
  <c r="B44" i="6" s="1"/>
  <c r="I60" i="1" s="1"/>
  <c r="B30" i="6"/>
  <c r="B21" i="6"/>
  <c r="B14" i="6"/>
  <c r="B6" i="6"/>
  <c r="B37" i="6" s="1"/>
  <c r="B5" i="6"/>
  <c r="B26" i="6" s="1"/>
  <c r="B3" i="6"/>
  <c r="B2" i="6"/>
  <c r="B30" i="5"/>
  <c r="B26" i="5"/>
  <c r="B6" i="5"/>
  <c r="B27" i="5" s="1"/>
  <c r="B28" i="5" s="1"/>
  <c r="B29" i="5" s="1"/>
  <c r="C5" i="5"/>
  <c r="E5" i="5" s="1"/>
  <c r="B5" i="5"/>
  <c r="B3" i="5"/>
  <c r="B14" i="5" s="1"/>
  <c r="B2" i="5"/>
  <c r="B10" i="4"/>
  <c r="I36" i="1" s="1"/>
  <c r="B5" i="4"/>
  <c r="B3" i="4"/>
  <c r="B8" i="4" s="1"/>
  <c r="B2" i="4"/>
  <c r="B6" i="4" s="1"/>
  <c r="B7" i="4" s="1"/>
  <c r="B14" i="3"/>
  <c r="B5" i="3"/>
  <c r="E5" i="3" s="1"/>
  <c r="C4" i="3"/>
  <c r="E4" i="3" s="1"/>
  <c r="B4" i="3"/>
  <c r="B3" i="3"/>
  <c r="B9" i="3" s="1"/>
  <c r="B2" i="3"/>
  <c r="I26" i="1" s="1"/>
  <c r="B6" i="2"/>
  <c r="B3" i="2"/>
  <c r="B2" i="2"/>
  <c r="I37" i="1"/>
  <c r="I34" i="1"/>
  <c r="I18" i="1"/>
  <c r="B8" i="7" l="1"/>
  <c r="E6" i="5"/>
  <c r="B9" i="5" s="1"/>
  <c r="B19" i="5" s="1"/>
  <c r="B8" i="5"/>
  <c r="B6" i="3"/>
  <c r="B7" i="3" s="1"/>
  <c r="E37" i="6"/>
  <c r="C37" i="6" s="1"/>
  <c r="C25" i="7"/>
  <c r="B9" i="4"/>
  <c r="I35" i="1"/>
  <c r="D36" i="7"/>
  <c r="B39" i="7" s="1"/>
  <c r="C26" i="6"/>
  <c r="B32" i="5"/>
  <c r="I48" i="1" s="1"/>
  <c r="B10" i="2"/>
  <c r="I23" i="1" s="1"/>
  <c r="B11" i="4"/>
  <c r="I39" i="1" s="1"/>
  <c r="B7" i="5"/>
  <c r="B11" i="5" s="1"/>
  <c r="C5" i="6"/>
  <c r="E5" i="6" s="1"/>
  <c r="C5" i="7"/>
  <c r="E5" i="7" s="1"/>
  <c r="B5" i="2"/>
  <c r="B21" i="5"/>
  <c r="E6" i="6"/>
  <c r="B9" i="6" s="1"/>
  <c r="B19" i="6" s="1"/>
  <c r="B7" i="6"/>
  <c r="B8" i="6"/>
  <c r="B27" i="6"/>
  <c r="C27" i="6" s="1"/>
  <c r="E6" i="7"/>
  <c r="B9" i="7" s="1"/>
  <c r="B19" i="7" s="1"/>
  <c r="B7" i="7"/>
  <c r="B11" i="7" s="1"/>
  <c r="B26" i="7"/>
  <c r="C26" i="7" s="1"/>
  <c r="B11" i="6" l="1"/>
  <c r="B20" i="7"/>
  <c r="B13" i="5"/>
  <c r="B15" i="5" s="1"/>
  <c r="B16" i="5" s="1"/>
  <c r="B20" i="6"/>
  <c r="B22" i="6" s="1"/>
  <c r="B23" i="6" s="1"/>
  <c r="B24" i="6" s="1"/>
  <c r="I57" i="1" s="1"/>
  <c r="I27" i="1"/>
  <c r="B8" i="3"/>
  <c r="I28" i="1" s="1"/>
  <c r="I19" i="1"/>
  <c r="B33" i="7"/>
  <c r="B34" i="7" s="1"/>
  <c r="B37" i="7" s="1"/>
  <c r="B28" i="6"/>
  <c r="B29" i="6" s="1"/>
  <c r="B32" i="6" s="1"/>
  <c r="I58" i="1" s="1"/>
  <c r="B13" i="7"/>
  <c r="B13" i="6"/>
  <c r="B20" i="5"/>
  <c r="B34" i="6"/>
  <c r="B35" i="6" s="1"/>
  <c r="B38" i="6" s="1"/>
  <c r="B7" i="2"/>
  <c r="B8" i="2" s="1"/>
  <c r="I20" i="1" s="1"/>
  <c r="B27" i="7"/>
  <c r="B28" i="7" s="1"/>
  <c r="B31" i="7" s="1"/>
  <c r="I68" i="1" s="1"/>
  <c r="B22" i="5" l="1"/>
  <c r="B23" i="5" s="1"/>
  <c r="B24" i="5" s="1"/>
  <c r="I47" i="1" s="1"/>
  <c r="B15" i="6"/>
  <c r="B16" i="6" s="1"/>
  <c r="B17" i="6" s="1"/>
  <c r="I56" i="1" s="1"/>
  <c r="B9" i="2"/>
  <c r="I22" i="1" s="1"/>
  <c r="B17" i="5"/>
  <c r="I46" i="1" s="1"/>
  <c r="D37" i="7"/>
  <c r="B40" i="7" s="1"/>
  <c r="B41" i="7" s="1"/>
  <c r="I69" i="1" s="1"/>
  <c r="E38" i="6"/>
  <c r="C38" i="6" s="1"/>
  <c r="B40" i="6" s="1"/>
  <c r="I59" i="1" s="1"/>
  <c r="B10" i="3"/>
  <c r="B11" i="3" s="1"/>
  <c r="I29" i="1" s="1"/>
  <c r="B15" i="7"/>
  <c r="B16" i="7" s="1"/>
  <c r="B17" i="7" s="1"/>
  <c r="I66" i="1" s="1"/>
  <c r="B21" i="7"/>
  <c r="B22" i="7" s="1"/>
  <c r="B23" i="7" s="1"/>
  <c r="I67" i="1" s="1"/>
  <c r="I52" i="1" l="1"/>
  <c r="I72" i="1"/>
  <c r="I63" i="1"/>
  <c r="I62" i="1"/>
  <c r="B12" i="3"/>
  <c r="I31" i="1" s="1"/>
</calcChain>
</file>

<file path=xl/sharedStrings.xml><?xml version="1.0" encoding="utf-8"?>
<sst xmlns="http://schemas.openxmlformats.org/spreadsheetml/2006/main" count="214" uniqueCount="90">
  <si>
    <t>Calculadora de Folha Salarial</t>
  </si>
  <si>
    <t>Como usar esta calculadora</t>
  </si>
  <si>
    <r>
      <rPr>
        <b/>
        <sz val="14"/>
        <color rgb="FF8A87F2"/>
        <rFont val="Roboto"/>
      </rPr>
      <t>1.</t>
    </r>
    <r>
      <rPr>
        <sz val="10"/>
        <color rgb="FF666666"/>
        <rFont val="Roboto"/>
      </rPr>
      <t xml:space="preserve"> Informe os dados solicitados abaixo nos campos destacados em cinza.</t>
    </r>
  </si>
  <si>
    <t>Informações Gerais</t>
  </si>
  <si>
    <t>Informações necessárias para cálculos demissionais:</t>
  </si>
  <si>
    <t>Informações necessárias para cálculo de férias:</t>
  </si>
  <si>
    <t>Salário bruto</t>
  </si>
  <si>
    <t>Último dia de trabalho (se não houver, será considerada a data de hoje)</t>
  </si>
  <si>
    <t>Quantidade de dias de férias a tirar</t>
  </si>
  <si>
    <t>Dependentes</t>
  </si>
  <si>
    <t>Saldo do FGTS</t>
  </si>
  <si>
    <t>Data de contratação no cargo</t>
  </si>
  <si>
    <t>Já tinha tirado férias nos últimos 12 meses? Se sim, quantos dias?</t>
  </si>
  <si>
    <r>
      <rPr>
        <b/>
        <sz val="14"/>
        <color rgb="FF8A87F2"/>
        <rFont val="Roboto"/>
      </rPr>
      <t>2.</t>
    </r>
    <r>
      <rPr>
        <sz val="10"/>
        <color rgb="FF666666"/>
        <rFont val="Roboto"/>
      </rPr>
      <t xml:space="preserve"> Agora você pode analisar alguns demonstrativos em relação as informações salariais:</t>
    </r>
  </si>
  <si>
    <t>Desconto salarial</t>
  </si>
  <si>
    <t>(+) Salário base</t>
  </si>
  <si>
    <t>(-) INSS</t>
  </si>
  <si>
    <t>(-) IR</t>
  </si>
  <si>
    <t>(=) Salário líquido</t>
  </si>
  <si>
    <t>FGTS (valor depositado pela empresa)</t>
  </si>
  <si>
    <t>13º salário</t>
  </si>
  <si>
    <t>Salário base</t>
  </si>
  <si>
    <t>(+) 13° bruto</t>
  </si>
  <si>
    <t>(=) 13° líquido</t>
  </si>
  <si>
    <t>Férias</t>
  </si>
  <si>
    <t>Quantidade de dias de férias</t>
  </si>
  <si>
    <t>Cálculos para cenários demissionais</t>
  </si>
  <si>
    <t>Cenário 1: Demissão</t>
  </si>
  <si>
    <t>(+) Salário do mês</t>
  </si>
  <si>
    <t>(+) 13º salário</t>
  </si>
  <si>
    <t>(+) Férias</t>
  </si>
  <si>
    <t>(+) Indenização - Aviso Prévio</t>
  </si>
  <si>
    <t>(+) Valor do FGTS*</t>
  </si>
  <si>
    <t>(=) Total</t>
  </si>
  <si>
    <t>*Em caso de demissão, não há disponibilização de valores do FGTS</t>
  </si>
  <si>
    <t>Cenário 2: Demitido</t>
  </si>
  <si>
    <t>(+) Valor do FGTS</t>
  </si>
  <si>
    <t>(=) Total se indenizado</t>
  </si>
  <si>
    <t>(=) Total se trabalhado</t>
  </si>
  <si>
    <t>Cenário 3: Acordo</t>
  </si>
  <si>
    <t>Algumas premissas importantes:</t>
  </si>
  <si>
    <t xml:space="preserve"> - Para os cálculos demissionais, não foram consideradas férias vencidas.
 - Em caso de pedido de demissão, é assumido que o aviso prévio será cumprido. 
 - Em caso de ser demitido pela empresa, os cálculos são referentes a demissão sem justa causa.
 - O seguro desemprego a ser recebido em caso de ser demitido não foi considerado para os cálculos de rescisão.
 - Todos os demonstrativos não consideram descontos em folha excepcionais, como consignado, plano de saúde, pensão, etc.</t>
  </si>
  <si>
    <t>Sobre o acordo demissional</t>
  </si>
  <si>
    <t>Empregado que pedir para sair da empresa poderá negociar com o patrão sua demissão e receber parte da multa do FGTS.
A nova lei trabalhista trouxe a possibilidade da demissão por comum acordo. Isso significa que o empregado que pedir para sair da empresa poderá negociar com o patrão o direito a receber metade da multa de 40% sobre o saldo do FGTS e metade do aviso prévio indenizado.
Ele também poderá movimentar até 80% do valor depositado pela empresa na conta do Fundo de Garantia. No entanto, em caso de acordo, não terá direito ao seguro-desemprego.</t>
  </si>
  <si>
    <t>INSS</t>
  </si>
  <si>
    <t>Número de dependentes</t>
  </si>
  <si>
    <t>Descontos (previdência, saúde, consignado, etc)</t>
  </si>
  <si>
    <t>Salário sem INSS e sem desconto por dependentes</t>
  </si>
  <si>
    <t>IR</t>
  </si>
  <si>
    <t>Salário líquido</t>
  </si>
  <si>
    <t>FGTS (empresa)</t>
  </si>
  <si>
    <t>-</t>
  </si>
  <si>
    <t>Data de entrada</t>
  </si>
  <si>
    <t>Mês:</t>
  </si>
  <si>
    <t>Data de saída</t>
  </si>
  <si>
    <t>Meses trabalhados</t>
  </si>
  <si>
    <t>13° bruto</t>
  </si>
  <si>
    <t>INSS 13°</t>
  </si>
  <si>
    <t>13° sem INSS e sem desconto por dependentes</t>
  </si>
  <si>
    <t>IR 13°</t>
  </si>
  <si>
    <t>13° sem INSS, IR</t>
  </si>
  <si>
    <t>Quantidade de dias (corridos)</t>
  </si>
  <si>
    <t>Valor sem dedução</t>
  </si>
  <si>
    <t>Férias sem INSS e desconto por dependentes</t>
  </si>
  <si>
    <t>Valor com dedução de INSS e IR</t>
  </si>
  <si>
    <t>Data de contratação</t>
  </si>
  <si>
    <t>Último dia de trabalho</t>
  </si>
  <si>
    <t>Quantidade de dias no mês</t>
  </si>
  <si>
    <t>Dias trabalhados no mês</t>
  </si>
  <si>
    <t>Salário do mês</t>
  </si>
  <si>
    <t>13° líquido</t>
  </si>
  <si>
    <t>Quantidade de meses</t>
  </si>
  <si>
    <t>Férias proporcionais</t>
  </si>
  <si>
    <t>Já tinha tirado férias? Se sim, quantos dias?</t>
  </si>
  <si>
    <t>13° sem INSS</t>
  </si>
  <si>
    <t>Quantidade de meses completos</t>
  </si>
  <si>
    <t>Valor das férias sem dedução</t>
  </si>
  <si>
    <t>Quantidade de meses trabalhados</t>
  </si>
  <si>
    <t>Quantidade de dias de aviso prévio indenizado</t>
  </si>
  <si>
    <t>Data de início aviso prévio</t>
  </si>
  <si>
    <t>Número de dias no mês</t>
  </si>
  <si>
    <t>Data final do aviso prévio</t>
  </si>
  <si>
    <t>Valores a receber de indenização do aviso prévio</t>
  </si>
  <si>
    <t>Multa FGTS se demitido</t>
  </si>
  <si>
    <t>FGTS integral</t>
  </si>
  <si>
    <t>A receber</t>
  </si>
  <si>
    <t>Valores a receber mês 1</t>
  </si>
  <si>
    <t>Valores a receber mês 2</t>
  </si>
  <si>
    <t>FGTS (80%)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</si>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</sst>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&quot; &quot;d&quot;, &quot;yyyy"/>
    <numFmt numFmtId="165" formatCode="dd&quot;/&quot;mm&quot;/&quot;yyyy"/>
    <numFmt numFmtId="166" formatCode="[$R$ -416]#,##0.00"/>
    <numFmt numFmtId="167" formatCode="[$R$]#,##0.00"/>
  </numFmts>
  <fonts count="28">
    <font>
      <sz val="10"/>
      <color rgb="FF000000"/>
      <name val="Arial"/>
    </font>
    <font>
      <sz val="10"/>
      <color theme="1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theme="1"/>
      <name val="Roboto"/>
    </font>
    <font>
      <b/>
      <sz val="12"/>
      <color rgb="FF3B337E"/>
      <name val="Roboto"/>
    </font>
    <font>
      <sz val="10"/>
      <color rgb="FF666666"/>
      <name val="Roboto"/>
    </font>
    <font>
      <b/>
      <sz val="12"/>
      <color rgb="FF59519D"/>
      <name val="Roboto"/>
    </font>
    <font>
      <sz val="11"/>
      <color rgb="FFE01B84"/>
      <name val="Roboto"/>
    </font>
    <font>
      <sz val="13"/>
      <color theme="1"/>
      <name val="Roboto"/>
    </font>
    <font>
      <b/>
      <sz val="10"/>
      <color rgb="FF2AE1D5"/>
      <name val="Roboto"/>
    </font>
    <font>
      <b/>
      <sz val="12"/>
      <color rgb="FF434343"/>
      <name val="Roboto"/>
    </font>
    <font>
      <b/>
      <sz val="12"/>
      <color rgb="FF2A3990"/>
      <name val="Roboto"/>
    </font>
    <font>
      <b/>
      <sz val="10"/>
      <color rgb="FF666666"/>
      <name val="Roboto"/>
    </font>
    <font>
      <sz val="10"/>
      <color rgb="FF2A3990"/>
      <name val="Roboto"/>
    </font>
    <font>
      <sz val="18"/>
      <color theme="1"/>
      <name val="Roboto"/>
    </font>
    <font>
      <b/>
      <sz val="20"/>
      <color rgb="FF7A95ED"/>
      <name val="Roboto"/>
    </font>
    <font>
      <sz val="10"/>
      <color theme="1"/>
      <name val="Arial"/>
    </font>
    <font>
      <b/>
      <sz val="11"/>
      <color rgb="FF59519D"/>
      <name val="Roboto"/>
    </font>
    <font>
      <i/>
      <sz val="10"/>
      <color rgb="FF666666"/>
      <name val="Roboto"/>
    </font>
    <font>
      <sz val="10"/>
      <name val="Arial"/>
    </font>
    <font>
      <sz val="10"/>
      <color rgb="FF000000"/>
      <name val="Arial"/>
    </font>
    <font>
      <sz val="11"/>
      <color rgb="FF000000"/>
      <name val="Inconsolata"/>
    </font>
    <font>
      <b/>
      <sz val="14"/>
      <color rgb="FF8A87F2"/>
      <name val="Roboto"/>
    </font>
    <font>
      <b/>
      <sz val="10"/>
      <color theme="4" tint="-0.499984740745262"/>
      <name val="Roboto"/>
    </font>
    <font>
      <sz val="10"/>
      <color theme="4" tint="-0.499984740745262"/>
      <name val="Arial"/>
      <family val="2"/>
    </font>
    <font>
      <b/>
      <sz val="28"/>
      <color theme="4" tint="-0.499984740745262"/>
      <name val="Roboto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7B0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1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3" borderId="0" xfId="0" applyNumberFormat="1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167" fontId="14" fillId="0" borderId="0" xfId="0" applyNumberFormat="1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0" applyNumberFormat="1" applyFont="1" applyAlignme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/>
    <xf numFmtId="167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0" fontId="7" fillId="0" borderId="0" xfId="0" applyFont="1" applyAlignment="1"/>
    <xf numFmtId="167" fontId="17" fillId="0" borderId="0" xfId="0" applyNumberFormat="1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18" fillId="0" borderId="0" xfId="0" applyFont="1" applyAlignment="1"/>
    <xf numFmtId="3" fontId="7" fillId="0" borderId="0" xfId="0" applyNumberFormat="1" applyFont="1" applyAlignment="1"/>
    <xf numFmtId="0" fontId="7" fillId="0" borderId="1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22" fillId="0" borderId="0" xfId="0" applyFont="1" applyAlignment="1"/>
    <xf numFmtId="0" fontId="18" fillId="0" borderId="2" xfId="0" applyFont="1" applyBorder="1" applyAlignment="1"/>
    <xf numFmtId="166" fontId="18" fillId="0" borderId="2" xfId="0" applyNumberFormat="1" applyFont="1" applyBorder="1" applyAlignment="1"/>
    <xf numFmtId="3" fontId="18" fillId="0" borderId="2" xfId="0" applyNumberFormat="1" applyFont="1" applyBorder="1" applyAlignment="1"/>
    <xf numFmtId="166" fontId="18" fillId="0" borderId="0" xfId="0" applyNumberFormat="1" applyFont="1" applyAlignment="1"/>
    <xf numFmtId="10" fontId="18" fillId="0" borderId="2" xfId="0" applyNumberFormat="1" applyFont="1" applyBorder="1" applyAlignment="1"/>
    <xf numFmtId="166" fontId="18" fillId="0" borderId="2" xfId="0" applyNumberFormat="1" applyFont="1" applyBorder="1"/>
    <xf numFmtId="10" fontId="18" fillId="0" borderId="0" xfId="0" applyNumberFormat="1" applyFont="1" applyAlignment="1"/>
    <xf numFmtId="0" fontId="23" fillId="4" borderId="2" xfId="0" applyFont="1" applyFill="1" applyBorder="1" applyAlignment="1"/>
    <xf numFmtId="14" fontId="18" fillId="0" borderId="2" xfId="0" applyNumberFormat="1" applyFont="1" applyBorder="1" applyAlignment="1"/>
    <xf numFmtId="14" fontId="18" fillId="0" borderId="2" xfId="0" applyNumberFormat="1" applyFont="1" applyBorder="1" applyAlignment="1"/>
    <xf numFmtId="0" fontId="18" fillId="0" borderId="0" xfId="0" applyFont="1"/>
    <xf numFmtId="3" fontId="18" fillId="0" borderId="2" xfId="0" applyNumberFormat="1" applyFont="1" applyBorder="1"/>
    <xf numFmtId="0" fontId="23" fillId="4" borderId="0" xfId="0" applyFont="1" applyFill="1" applyAlignment="1"/>
    <xf numFmtId="0" fontId="18" fillId="0" borderId="2" xfId="0" applyFont="1" applyBorder="1"/>
    <xf numFmtId="0" fontId="18" fillId="5" borderId="2" xfId="0" applyFont="1" applyFill="1" applyBorder="1" applyAlignment="1"/>
    <xf numFmtId="166" fontId="18" fillId="5" borderId="2" xfId="0" applyNumberFormat="1" applyFont="1" applyFill="1" applyBorder="1"/>
    <xf numFmtId="0" fontId="25" fillId="0" borderId="0" xfId="0" applyFont="1" applyAlignment="1"/>
    <xf numFmtId="0" fontId="25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21" fillId="0" borderId="1" xfId="0" applyFont="1" applyBorder="1"/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/>
    <xf numFmtId="0" fontId="3" fillId="0" borderId="0" xfId="0" applyFont="1" applyAlignment="1"/>
    <xf numFmtId="0" fontId="27" fillId="0" borderId="0" xfId="0" applyFont="1" applyAlignment="1"/>
    <xf numFmtId="164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/>
    <xf numFmtId="0" fontId="7" fillId="0" borderId="0" xfId="0" applyFont="1" applyAlignment="1"/>
    <xf numFmtId="0" fontId="19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47626</xdr:rowOff>
    </xdr:from>
    <xdr:to>
      <xdr:col>1</xdr:col>
      <xdr:colOff>304801</xdr:colOff>
      <xdr:row>3</xdr:row>
      <xdr:rowOff>123826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23826"/>
          <a:ext cx="8001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7A95ED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9"/>
  <sheetViews>
    <sheetView showGridLines="0" tabSelected="1" workbookViewId="0">
      <selection activeCell="B5" sqref="B5:J5"/>
    </sheetView>
  </sheetViews>
  <sheetFormatPr defaultColWidth="14.42578125" defaultRowHeight="15.75" customHeight="1"/>
  <cols>
    <col min="1" max="1" width="8.28515625" customWidth="1"/>
    <col min="2" max="2" width="10.140625" customWidth="1"/>
    <col min="3" max="3" width="19.28515625" customWidth="1"/>
    <col min="4" max="4" width="14.28515625" customWidth="1"/>
    <col min="5" max="5" width="3.28515625" customWidth="1"/>
    <col min="6" max="6" width="21.42578125" customWidth="1"/>
    <col min="7" max="7" width="15.5703125" customWidth="1"/>
    <col min="8" max="8" width="3.28515625" customWidth="1"/>
    <col min="9" max="9" width="19.28515625" customWidth="1"/>
    <col min="10" max="10" width="15.28515625" customWidth="1"/>
    <col min="11" max="11" width="8.28515625" customWidth="1"/>
  </cols>
  <sheetData>
    <row r="1" spans="1:11" ht="6" customHeight="1">
      <c r="A1" s="1"/>
      <c r="B1" s="1"/>
      <c r="C1" s="1"/>
      <c r="D1" s="1"/>
      <c r="E1" s="2"/>
      <c r="F1" s="3"/>
      <c r="G1" s="3"/>
      <c r="H1" s="3"/>
      <c r="I1" s="1"/>
      <c r="J1" s="4"/>
      <c r="K1" s="1"/>
    </row>
    <row r="2" spans="1:11" ht="21" customHeight="1">
      <c r="A2" s="5"/>
      <c r="B2" s="5"/>
      <c r="C2" s="5"/>
      <c r="D2" s="5"/>
      <c r="E2" s="6"/>
      <c r="F2" s="7"/>
      <c r="G2" s="7"/>
      <c r="H2" s="7"/>
      <c r="I2" s="5"/>
      <c r="J2" s="8"/>
      <c r="K2" s="5"/>
    </row>
    <row r="3" spans="1:11" ht="36" customHeight="1">
      <c r="A3" s="9"/>
      <c r="B3" s="91"/>
      <c r="C3" s="82"/>
      <c r="D3" s="82"/>
      <c r="E3" s="82"/>
      <c r="I3" s="10"/>
      <c r="J3" s="11"/>
      <c r="K3" s="10"/>
    </row>
    <row r="4" spans="1:11" ht="12" customHeight="1">
      <c r="A4" s="9"/>
      <c r="B4" s="12"/>
      <c r="C4" s="12"/>
      <c r="D4" s="12"/>
      <c r="E4" s="12"/>
      <c r="F4" s="13"/>
      <c r="G4" s="13"/>
      <c r="H4" s="13"/>
      <c r="I4" s="12"/>
      <c r="J4" s="13"/>
      <c r="K4" s="12"/>
    </row>
    <row r="5" spans="1:11" ht="48" customHeight="1">
      <c r="A5" s="14"/>
      <c r="B5" s="92" t="s">
        <v>0</v>
      </c>
      <c r="C5" s="90"/>
      <c r="D5" s="90"/>
      <c r="E5" s="90"/>
      <c r="F5" s="90"/>
      <c r="G5" s="90"/>
      <c r="H5" s="90"/>
      <c r="I5" s="90"/>
      <c r="J5" s="90"/>
    </row>
    <row r="6" spans="1:11" ht="9.75" customHeight="1">
      <c r="A6" s="15"/>
      <c r="B6" s="16"/>
      <c r="C6" s="16"/>
      <c r="D6" s="16"/>
      <c r="E6" s="17"/>
      <c r="F6" s="18"/>
      <c r="G6" s="18"/>
      <c r="H6" s="18"/>
      <c r="I6" s="17"/>
      <c r="J6" s="18"/>
      <c r="K6" s="17"/>
    </row>
    <row r="7" spans="1:11" ht="18" customHeight="1">
      <c r="A7" s="15"/>
      <c r="B7" s="85" t="s">
        <v>1</v>
      </c>
      <c r="C7" s="82"/>
      <c r="D7" s="17"/>
      <c r="E7" s="18"/>
      <c r="F7" s="17"/>
      <c r="G7" s="17"/>
      <c r="H7" s="17"/>
      <c r="I7" s="18"/>
      <c r="J7" s="17"/>
      <c r="K7" s="17"/>
    </row>
    <row r="8" spans="1:11" ht="9.75" customHeight="1">
      <c r="A8" s="15"/>
      <c r="B8" s="93"/>
      <c r="C8" s="82"/>
      <c r="D8" s="20"/>
      <c r="E8" s="94"/>
      <c r="F8" s="82"/>
      <c r="G8" s="82"/>
      <c r="H8" s="21"/>
      <c r="I8" s="21"/>
      <c r="J8" s="20"/>
      <c r="K8" s="20"/>
    </row>
    <row r="9" spans="1:11" ht="18" customHeight="1">
      <c r="A9" s="22"/>
      <c r="B9" s="95" t="s">
        <v>2</v>
      </c>
      <c r="C9" s="82"/>
      <c r="D9" s="82"/>
      <c r="E9" s="82"/>
      <c r="F9" s="82"/>
      <c r="G9" s="82"/>
      <c r="H9" s="82"/>
      <c r="I9" s="82"/>
      <c r="J9" s="82"/>
    </row>
    <row r="10" spans="1:11" ht="11.1" customHeight="1">
      <c r="A10" s="15"/>
      <c r="B10" s="24"/>
      <c r="C10" s="24"/>
      <c r="D10" s="24"/>
      <c r="E10" s="25"/>
      <c r="F10" s="26"/>
      <c r="G10" s="26"/>
      <c r="H10" s="26"/>
      <c r="I10" s="26"/>
      <c r="J10" s="26"/>
      <c r="K10" s="27"/>
    </row>
    <row r="11" spans="1:11" ht="32.450000000000003" customHeight="1">
      <c r="A11" s="15"/>
      <c r="B11" s="96" t="s">
        <v>3</v>
      </c>
      <c r="C11" s="90"/>
      <c r="D11" s="90"/>
      <c r="E11" s="79"/>
      <c r="F11" s="89" t="s">
        <v>4</v>
      </c>
      <c r="G11" s="90"/>
      <c r="H11" s="80"/>
      <c r="I11" s="89" t="s">
        <v>5</v>
      </c>
      <c r="J11" s="90"/>
      <c r="K11" s="27"/>
    </row>
    <row r="12" spans="1:11" ht="60.95" customHeight="1">
      <c r="A12" s="15"/>
      <c r="B12" s="88" t="s">
        <v>6</v>
      </c>
      <c r="C12" s="82"/>
      <c r="D12" s="29">
        <v>8732</v>
      </c>
      <c r="E12" s="30"/>
      <c r="F12" s="28" t="s">
        <v>7</v>
      </c>
      <c r="G12" s="31"/>
      <c r="H12" s="26"/>
      <c r="I12" s="28" t="s">
        <v>8</v>
      </c>
      <c r="J12" s="32"/>
      <c r="K12" s="27"/>
    </row>
    <row r="13" spans="1:11" ht="39.950000000000003" customHeight="1">
      <c r="A13" s="15"/>
      <c r="B13" s="97" t="s">
        <v>9</v>
      </c>
      <c r="C13" s="82"/>
      <c r="D13" s="32">
        <v>3</v>
      </c>
      <c r="E13" s="30"/>
      <c r="F13" s="28" t="s">
        <v>10</v>
      </c>
      <c r="G13" s="29">
        <v>50000</v>
      </c>
      <c r="H13" s="26"/>
      <c r="I13" s="17"/>
      <c r="J13" s="17"/>
      <c r="K13" s="27"/>
    </row>
    <row r="14" spans="1:11" ht="36.950000000000003" customHeight="1">
      <c r="A14" s="15"/>
      <c r="B14" s="88" t="s">
        <v>11</v>
      </c>
      <c r="C14" s="82"/>
      <c r="D14" s="31">
        <v>43700</v>
      </c>
      <c r="E14" s="30"/>
      <c r="F14" s="28" t="s">
        <v>12</v>
      </c>
      <c r="G14" s="32">
        <v>30</v>
      </c>
      <c r="H14" s="26"/>
      <c r="I14" s="33"/>
      <c r="J14" s="33"/>
      <c r="K14" s="27"/>
    </row>
    <row r="15" spans="1:11" ht="20.25" customHeight="1">
      <c r="A15" s="15"/>
      <c r="B15" s="23"/>
      <c r="C15" s="23"/>
      <c r="D15" s="23"/>
      <c r="E15" s="23"/>
      <c r="F15" s="23"/>
      <c r="G15" s="23"/>
      <c r="H15" s="26"/>
      <c r="I15" s="23"/>
      <c r="J15" s="23"/>
      <c r="K15" s="27"/>
    </row>
    <row r="16" spans="1:11" ht="20.25" customHeight="1">
      <c r="A16" s="15"/>
      <c r="B16" s="23"/>
      <c r="C16" s="95" t="s">
        <v>13</v>
      </c>
      <c r="D16" s="82"/>
      <c r="E16" s="82"/>
      <c r="F16" s="82"/>
      <c r="G16" s="82"/>
      <c r="H16" s="82"/>
      <c r="I16" s="82"/>
      <c r="J16" s="82"/>
      <c r="K16" s="27"/>
    </row>
    <row r="17" spans="1:11" ht="24" customHeight="1">
      <c r="A17" s="15"/>
      <c r="B17" s="23"/>
      <c r="C17" s="98" t="s">
        <v>14</v>
      </c>
      <c r="D17" s="82"/>
      <c r="E17" s="82"/>
      <c r="F17" s="34"/>
      <c r="G17" s="34"/>
      <c r="H17" s="34"/>
      <c r="I17" s="35"/>
      <c r="J17" s="24"/>
      <c r="K17" s="27"/>
    </row>
    <row r="18" spans="1:11" ht="18.75" customHeight="1">
      <c r="A18" s="15"/>
      <c r="B18" s="23"/>
      <c r="C18" s="83" t="s">
        <v>15</v>
      </c>
      <c r="D18" s="82"/>
      <c r="E18" s="82"/>
      <c r="F18" s="82"/>
      <c r="G18" s="82"/>
      <c r="H18" s="36"/>
      <c r="I18" s="37">
        <f>'Desconto salarial'!$B$2</f>
        <v>8732</v>
      </c>
      <c r="J18" s="38"/>
      <c r="K18" s="27"/>
    </row>
    <row r="19" spans="1:11" ht="18.75" customHeight="1">
      <c r="A19" s="15"/>
      <c r="B19" s="23"/>
      <c r="C19" s="81" t="s">
        <v>16</v>
      </c>
      <c r="D19" s="82"/>
      <c r="E19" s="82"/>
      <c r="F19" s="82"/>
      <c r="G19" s="82"/>
      <c r="H19" s="39"/>
      <c r="I19" s="40">
        <f>'Desconto salarial'!$B$5</f>
        <v>1073.7677000000001</v>
      </c>
      <c r="J19" s="38"/>
      <c r="K19" s="27"/>
    </row>
    <row r="20" spans="1:11" ht="18.75" customHeight="1">
      <c r="A20" s="15"/>
      <c r="B20" s="23"/>
      <c r="C20" s="81" t="s">
        <v>17</v>
      </c>
      <c r="D20" s="82"/>
      <c r="E20" s="82"/>
      <c r="F20" s="82"/>
      <c r="G20" s="82"/>
      <c r="H20" s="39"/>
      <c r="I20" s="40">
        <f>'Desconto salarial'!$B$8</f>
        <v>1080.2421325</v>
      </c>
      <c r="J20" s="38"/>
    </row>
    <row r="21" spans="1:11" ht="6" customHeight="1">
      <c r="A21" s="15"/>
      <c r="B21" s="23"/>
      <c r="C21" s="15"/>
      <c r="D21" s="15"/>
      <c r="E21" s="15"/>
      <c r="F21" s="15"/>
      <c r="G21" s="15"/>
      <c r="H21" s="15"/>
      <c r="I21" s="15"/>
      <c r="J21" s="38"/>
    </row>
    <row r="22" spans="1:11" ht="18.75" customHeight="1">
      <c r="A22" s="15"/>
      <c r="B22" s="23"/>
      <c r="C22" s="83" t="s">
        <v>18</v>
      </c>
      <c r="D22" s="82"/>
      <c r="E22" s="82"/>
      <c r="F22" s="82"/>
      <c r="G22" s="82"/>
      <c r="H22" s="36"/>
      <c r="I22" s="37">
        <f>'Desconto salarial'!$B$9</f>
        <v>6577.9901675000001</v>
      </c>
      <c r="J22" s="41"/>
    </row>
    <row r="23" spans="1:11" ht="24" customHeight="1">
      <c r="A23" s="15"/>
      <c r="B23" s="23"/>
      <c r="C23" s="83" t="s">
        <v>19</v>
      </c>
      <c r="D23" s="82"/>
      <c r="E23" s="82"/>
      <c r="F23" s="82"/>
      <c r="G23" s="82"/>
      <c r="H23" s="36"/>
      <c r="I23" s="37">
        <f>'Desconto salarial'!$B$10</f>
        <v>698.56000000000006</v>
      </c>
      <c r="J23" s="38"/>
      <c r="K23" s="17"/>
    </row>
    <row r="24" spans="1:11" ht="15" customHeight="1">
      <c r="A24" s="15"/>
      <c r="B24" s="23"/>
      <c r="C24" s="15"/>
      <c r="D24" s="15"/>
      <c r="E24" s="15"/>
      <c r="F24" s="15"/>
      <c r="G24" s="15"/>
      <c r="H24" s="15"/>
      <c r="I24" s="15"/>
      <c r="J24" s="42"/>
      <c r="K24" s="43"/>
    </row>
    <row r="25" spans="1:11" ht="19.5" customHeight="1">
      <c r="A25" s="44"/>
      <c r="B25" s="23"/>
      <c r="C25" s="98" t="s">
        <v>20</v>
      </c>
      <c r="D25" s="82"/>
      <c r="E25" s="82"/>
      <c r="F25" s="34"/>
      <c r="G25" s="34"/>
      <c r="H25" s="34"/>
      <c r="I25" s="34"/>
      <c r="J25" s="45"/>
      <c r="K25" s="46"/>
    </row>
    <row r="26" spans="1:11" ht="19.5" customHeight="1">
      <c r="A26" s="47"/>
      <c r="B26" s="23"/>
      <c r="C26" s="99" t="s">
        <v>21</v>
      </c>
      <c r="D26" s="82"/>
      <c r="E26" s="82"/>
      <c r="F26" s="82"/>
      <c r="G26" s="82"/>
      <c r="H26" s="48"/>
      <c r="I26" s="40">
        <f>'13°'!$B$2</f>
        <v>8732</v>
      </c>
      <c r="J26" s="49"/>
      <c r="K26" s="50"/>
    </row>
    <row r="27" spans="1:11" ht="19.5" customHeight="1">
      <c r="A27" s="41"/>
      <c r="B27" s="23"/>
      <c r="C27" s="83" t="s">
        <v>22</v>
      </c>
      <c r="D27" s="82"/>
      <c r="E27" s="82"/>
      <c r="F27" s="82"/>
      <c r="G27" s="82"/>
      <c r="H27" s="36"/>
      <c r="I27" s="37">
        <f ca="1">'13°'!$B$7</f>
        <v>8732</v>
      </c>
      <c r="K27" s="41"/>
    </row>
    <row r="28" spans="1:11" ht="19.5" customHeight="1">
      <c r="A28" s="41"/>
      <c r="B28" s="23"/>
      <c r="C28" s="81" t="s">
        <v>16</v>
      </c>
      <c r="D28" s="82"/>
      <c r="E28" s="82"/>
      <c r="F28" s="82"/>
      <c r="G28" s="82"/>
      <c r="H28" s="39"/>
      <c r="I28" s="40">
        <f ca="1">'13°'!$B$8</f>
        <v>1073.7677000000001</v>
      </c>
      <c r="K28" s="41"/>
    </row>
    <row r="29" spans="1:11" ht="19.5" customHeight="1">
      <c r="A29" s="41"/>
      <c r="B29" s="23"/>
      <c r="C29" s="81" t="s">
        <v>17</v>
      </c>
      <c r="D29" s="82"/>
      <c r="E29" s="82"/>
      <c r="F29" s="82"/>
      <c r="G29" s="82"/>
      <c r="H29" s="39"/>
      <c r="I29" s="40">
        <f ca="1">'13°'!$B$11</f>
        <v>1080.2421325</v>
      </c>
      <c r="K29" s="41"/>
    </row>
    <row r="30" spans="1:11" ht="6" customHeight="1">
      <c r="A30" s="41"/>
      <c r="B30" s="23"/>
      <c r="K30" s="41"/>
    </row>
    <row r="31" spans="1:11" ht="19.5" customHeight="1">
      <c r="A31" s="41"/>
      <c r="B31" s="23"/>
      <c r="C31" s="83" t="s">
        <v>23</v>
      </c>
      <c r="D31" s="82"/>
      <c r="E31" s="82"/>
      <c r="F31" s="82"/>
      <c r="G31" s="82"/>
      <c r="H31" s="36"/>
      <c r="I31" s="37">
        <f ca="1">'13°'!$B$12</f>
        <v>6577.9901675000001</v>
      </c>
      <c r="K31" s="41"/>
    </row>
    <row r="32" spans="1:11" ht="15" customHeight="1">
      <c r="A32" s="51"/>
      <c r="B32" s="23"/>
      <c r="C32" s="51"/>
      <c r="D32" s="51"/>
      <c r="E32" s="51"/>
      <c r="F32" s="51"/>
      <c r="G32" s="51"/>
      <c r="H32" s="51"/>
      <c r="I32" s="51"/>
      <c r="J32" s="51"/>
      <c r="K32" s="41"/>
    </row>
    <row r="33" spans="1:11" ht="19.5" customHeight="1">
      <c r="A33" s="51"/>
      <c r="B33" s="23"/>
      <c r="C33" s="98" t="s">
        <v>24</v>
      </c>
      <c r="D33" s="82"/>
      <c r="E33" s="82"/>
      <c r="F33" s="34"/>
      <c r="G33" s="34"/>
      <c r="H33" s="34"/>
      <c r="I33" s="34"/>
      <c r="J33" s="51"/>
      <c r="K33" s="41"/>
    </row>
    <row r="34" spans="1:11" ht="19.5" customHeight="1">
      <c r="A34" s="41"/>
      <c r="B34" s="23"/>
      <c r="C34" s="83" t="s">
        <v>15</v>
      </c>
      <c r="D34" s="82"/>
      <c r="E34" s="82"/>
      <c r="F34" s="82"/>
      <c r="G34" s="82"/>
      <c r="H34" s="36"/>
      <c r="I34" s="37">
        <f>Férias!$B$2</f>
        <v>8732</v>
      </c>
      <c r="J34" s="51"/>
      <c r="K34" s="41"/>
    </row>
    <row r="35" spans="1:11" ht="19.5" customHeight="1">
      <c r="A35" s="41"/>
      <c r="B35" s="23"/>
      <c r="C35" s="81" t="s">
        <v>16</v>
      </c>
      <c r="D35" s="82"/>
      <c r="E35" s="82"/>
      <c r="F35" s="82"/>
      <c r="G35" s="82"/>
      <c r="H35" s="39"/>
      <c r="I35" s="40">
        <f>Férias!$B$7</f>
        <v>0</v>
      </c>
      <c r="J35" s="51"/>
      <c r="K35" s="41"/>
    </row>
    <row r="36" spans="1:11" ht="19.5" customHeight="1">
      <c r="A36" s="41"/>
      <c r="B36" s="23"/>
      <c r="C36" s="81" t="s">
        <v>17</v>
      </c>
      <c r="D36" s="82"/>
      <c r="E36" s="82"/>
      <c r="F36" s="82"/>
      <c r="G36" s="82"/>
      <c r="H36" s="39"/>
      <c r="I36" s="40">
        <f>Férias!$B$10</f>
        <v>0</v>
      </c>
      <c r="J36" s="51"/>
      <c r="K36" s="41"/>
    </row>
    <row r="37" spans="1:11" ht="19.5" customHeight="1">
      <c r="A37" s="41"/>
      <c r="B37" s="23"/>
      <c r="C37" s="81" t="s">
        <v>25</v>
      </c>
      <c r="D37" s="82"/>
      <c r="E37" s="82"/>
      <c r="F37" s="82"/>
      <c r="G37" s="82"/>
      <c r="H37" s="39"/>
      <c r="I37" s="52">
        <f>Férias!$B$5</f>
        <v>0</v>
      </c>
      <c r="J37" s="51"/>
      <c r="K37" s="41"/>
    </row>
    <row r="38" spans="1:11" ht="6" customHeight="1">
      <c r="A38" s="41"/>
      <c r="B38" s="23"/>
      <c r="C38" s="41"/>
      <c r="D38" s="41"/>
      <c r="E38" s="41"/>
      <c r="F38" s="41"/>
      <c r="G38" s="41"/>
      <c r="H38" s="41"/>
      <c r="I38" s="41"/>
      <c r="J38" s="51"/>
      <c r="K38" s="41"/>
    </row>
    <row r="39" spans="1:11" ht="19.5" customHeight="1">
      <c r="A39" s="41"/>
      <c r="B39" s="23"/>
      <c r="C39" s="83" t="s">
        <v>18</v>
      </c>
      <c r="D39" s="82"/>
      <c r="E39" s="82"/>
      <c r="F39" s="82"/>
      <c r="G39" s="82"/>
      <c r="H39" s="36"/>
      <c r="I39" s="37">
        <f>Férias!$B$11</f>
        <v>0</v>
      </c>
      <c r="J39" s="51"/>
      <c r="K39" s="41"/>
    </row>
    <row r="40" spans="1:11" ht="10.5" customHeight="1">
      <c r="A40" s="41"/>
      <c r="B40" s="23"/>
      <c r="C40" s="53"/>
      <c r="D40" s="53"/>
      <c r="E40" s="53"/>
      <c r="F40" s="53"/>
      <c r="G40" s="53"/>
      <c r="H40" s="53"/>
      <c r="I40" s="53"/>
      <c r="J40" s="51"/>
      <c r="K40" s="41"/>
    </row>
    <row r="41" spans="1:11" ht="10.5" customHeight="1">
      <c r="A41" s="41"/>
      <c r="B41" s="23"/>
      <c r="C41" s="41"/>
      <c r="D41" s="41"/>
      <c r="E41" s="41"/>
      <c r="F41" s="41"/>
      <c r="G41" s="41"/>
      <c r="H41" s="41"/>
      <c r="I41" s="41"/>
      <c r="J41" s="51"/>
      <c r="K41" s="41"/>
    </row>
    <row r="42" spans="1:11" ht="19.5" customHeight="1">
      <c r="A42" s="41"/>
      <c r="B42" s="23"/>
      <c r="C42" s="85" t="s">
        <v>26</v>
      </c>
      <c r="D42" s="82"/>
      <c r="E42" s="82"/>
      <c r="F42" s="82"/>
      <c r="G42" s="82"/>
      <c r="H42" s="19"/>
      <c r="I42" s="41"/>
      <c r="J42" s="51"/>
      <c r="K42" s="41"/>
    </row>
    <row r="43" spans="1:11" ht="11.25" customHeight="1">
      <c r="A43" s="41"/>
      <c r="B43" s="23"/>
      <c r="C43" s="54"/>
      <c r="D43" s="54"/>
      <c r="E43" s="41"/>
      <c r="F43" s="41"/>
      <c r="G43" s="41"/>
      <c r="H43" s="41"/>
      <c r="I43" s="41"/>
      <c r="J43" s="51"/>
      <c r="K43" s="41"/>
    </row>
    <row r="44" spans="1:11" ht="19.5" customHeight="1">
      <c r="A44" s="41"/>
      <c r="B44" s="23"/>
      <c r="C44" s="100" t="s">
        <v>27</v>
      </c>
      <c r="D44" s="82"/>
      <c r="E44" s="41"/>
      <c r="F44" s="41"/>
      <c r="G44" s="41"/>
      <c r="H44" s="41"/>
      <c r="I44" s="41"/>
      <c r="J44" s="51"/>
      <c r="K44" s="41"/>
    </row>
    <row r="45" spans="1:11" ht="5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ht="19.5" customHeight="1">
      <c r="A46" s="41"/>
      <c r="B46" s="23"/>
      <c r="C46" s="83" t="s">
        <v>28</v>
      </c>
      <c r="D46" s="82"/>
      <c r="E46" s="82"/>
      <c r="F46" s="82"/>
      <c r="G46" s="82"/>
      <c r="H46" s="36"/>
      <c r="I46" s="37">
        <f ca="1">Demissão!$B$17</f>
        <v>5348.6090707258063</v>
      </c>
      <c r="J46" s="51"/>
      <c r="K46" s="41"/>
    </row>
    <row r="47" spans="1:11" ht="19.5" customHeight="1">
      <c r="A47" s="41"/>
      <c r="B47" s="23"/>
      <c r="C47" s="81" t="s">
        <v>29</v>
      </c>
      <c r="D47" s="82"/>
      <c r="E47" s="82"/>
      <c r="F47" s="82"/>
      <c r="G47" s="82"/>
      <c r="H47" s="39"/>
      <c r="I47" s="40">
        <f ca="1">Demissão!$B$24</f>
        <v>3074.5107941666665</v>
      </c>
      <c r="J47" s="51"/>
      <c r="K47" s="41"/>
    </row>
    <row r="48" spans="1:11" ht="19.5" customHeight="1">
      <c r="A48" s="41"/>
      <c r="B48" s="23"/>
      <c r="C48" s="81" t="s">
        <v>30</v>
      </c>
      <c r="D48" s="82"/>
      <c r="E48" s="82"/>
      <c r="F48" s="82"/>
      <c r="G48" s="82"/>
      <c r="H48" s="39"/>
      <c r="I48" s="40">
        <f ca="1">Demissão!$B$32</f>
        <v>0</v>
      </c>
      <c r="J48" s="51"/>
      <c r="K48" s="41"/>
    </row>
    <row r="49" spans="1:11" ht="19.5" customHeight="1">
      <c r="A49" s="41"/>
      <c r="B49" s="23"/>
      <c r="C49" s="81" t="s">
        <v>31</v>
      </c>
      <c r="D49" s="82"/>
      <c r="E49" s="82"/>
      <c r="F49" s="82"/>
      <c r="G49" s="82"/>
      <c r="H49" s="39"/>
      <c r="I49" s="40">
        <v>0</v>
      </c>
      <c r="J49" s="51"/>
      <c r="K49" s="41"/>
    </row>
    <row r="50" spans="1:11" ht="19.5" customHeight="1">
      <c r="A50" s="41"/>
      <c r="B50" s="23"/>
      <c r="C50" s="81" t="s">
        <v>32</v>
      </c>
      <c r="D50" s="82"/>
      <c r="E50" s="82"/>
      <c r="F50" s="82"/>
      <c r="G50" s="82"/>
      <c r="H50" s="39"/>
      <c r="I50" s="40">
        <v>0</v>
      </c>
      <c r="J50" s="51"/>
      <c r="K50" s="41"/>
    </row>
    <row r="51" spans="1:11" ht="6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ht="19.5" customHeight="1">
      <c r="A52" s="41"/>
      <c r="B52" s="23"/>
      <c r="C52" s="83" t="s">
        <v>33</v>
      </c>
      <c r="D52" s="82"/>
      <c r="E52" s="82"/>
      <c r="F52" s="82"/>
      <c r="G52" s="82"/>
      <c r="H52" s="36"/>
      <c r="I52" s="37">
        <f ca="1">SUM(I46:I50)</f>
        <v>8423.1198648924728</v>
      </c>
      <c r="J52" s="51"/>
      <c r="K52" s="41"/>
    </row>
    <row r="53" spans="1:11" ht="19.5" customHeight="1">
      <c r="A53" s="41"/>
      <c r="B53" s="23"/>
      <c r="C53" s="55" t="s">
        <v>34</v>
      </c>
      <c r="E53" s="41"/>
      <c r="F53" s="41"/>
      <c r="G53" s="41"/>
      <c r="H53" s="41"/>
      <c r="I53" s="41"/>
      <c r="J53" s="51"/>
      <c r="K53" s="41"/>
    </row>
    <row r="54" spans="1:11" ht="25.5" customHeight="1">
      <c r="A54" s="41"/>
      <c r="B54" s="23"/>
      <c r="C54" s="100" t="s">
        <v>35</v>
      </c>
      <c r="D54" s="82"/>
      <c r="E54" s="41"/>
      <c r="F54" s="41"/>
      <c r="G54" s="41"/>
      <c r="H54" s="41"/>
      <c r="I54" s="41"/>
      <c r="J54" s="41"/>
      <c r="K54" s="41"/>
    </row>
    <row r="55" spans="1:11" ht="6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1:11" ht="19.5" customHeight="1">
      <c r="A56" s="41"/>
      <c r="B56" s="23"/>
      <c r="C56" s="83" t="s">
        <v>28</v>
      </c>
      <c r="D56" s="82"/>
      <c r="E56" s="82"/>
      <c r="F56" s="82"/>
      <c r="G56" s="82"/>
      <c r="H56" s="36"/>
      <c r="I56" s="37">
        <f ca="1">Demitido!$B$17</f>
        <v>5348.6090707258063</v>
      </c>
      <c r="J56" s="51"/>
      <c r="K56" s="41"/>
    </row>
    <row r="57" spans="1:11" ht="19.5" customHeight="1">
      <c r="A57" s="41"/>
      <c r="B57" s="23"/>
      <c r="C57" s="81" t="s">
        <v>29</v>
      </c>
      <c r="D57" s="82"/>
      <c r="E57" s="82"/>
      <c r="F57" s="82"/>
      <c r="G57" s="82"/>
      <c r="H57" s="39"/>
      <c r="I57" s="40">
        <f ca="1">Demitido!$B$24</f>
        <v>3074.5107941666665</v>
      </c>
      <c r="J57" s="51"/>
      <c r="K57" s="41"/>
    </row>
    <row r="58" spans="1:11" ht="19.5" customHeight="1">
      <c r="A58" s="41"/>
      <c r="B58" s="23"/>
      <c r="C58" s="81" t="s">
        <v>30</v>
      </c>
      <c r="D58" s="82"/>
      <c r="E58" s="82"/>
      <c r="F58" s="82"/>
      <c r="G58" s="82"/>
      <c r="H58" s="39"/>
      <c r="I58" s="40">
        <f ca="1">Demitido!$B$32</f>
        <v>0</v>
      </c>
      <c r="J58" s="51"/>
      <c r="K58" s="41"/>
    </row>
    <row r="59" spans="1:11" ht="19.5" customHeight="1">
      <c r="A59" s="41"/>
      <c r="B59" s="23"/>
      <c r="C59" s="81" t="s">
        <v>31</v>
      </c>
      <c r="D59" s="82"/>
      <c r="E59" s="82"/>
      <c r="F59" s="82"/>
      <c r="G59" s="82"/>
      <c r="H59" s="39"/>
      <c r="I59" s="40">
        <f ca="1">Demitido!$B$40</f>
        <v>2535.0967741935483</v>
      </c>
      <c r="J59" s="51"/>
      <c r="K59" s="41"/>
    </row>
    <row r="60" spans="1:11" ht="19.5" customHeight="1">
      <c r="A60" s="41"/>
      <c r="B60" s="23"/>
      <c r="C60" s="81" t="s">
        <v>36</v>
      </c>
      <c r="D60" s="82"/>
      <c r="E60" s="82"/>
      <c r="F60" s="82"/>
      <c r="G60" s="82"/>
      <c r="H60" s="39"/>
      <c r="I60" s="40">
        <f>Demitido!$B$44</f>
        <v>70000</v>
      </c>
      <c r="J60" s="51"/>
      <c r="K60" s="41"/>
    </row>
    <row r="61" spans="1:11" ht="6.75" customHeight="1">
      <c r="A61" s="41"/>
      <c r="B61" s="23"/>
      <c r="C61" s="23"/>
      <c r="D61" s="23"/>
      <c r="E61" s="23"/>
      <c r="F61" s="23"/>
      <c r="G61" s="23"/>
      <c r="H61" s="23"/>
      <c r="I61" s="23"/>
      <c r="J61" s="51"/>
      <c r="K61" s="41"/>
    </row>
    <row r="62" spans="1:11" ht="19.5" customHeight="1">
      <c r="A62" s="41"/>
      <c r="B62" s="23"/>
      <c r="C62" s="83" t="s">
        <v>37</v>
      </c>
      <c r="D62" s="82"/>
      <c r="E62" s="82"/>
      <c r="F62" s="82"/>
      <c r="G62" s="82"/>
      <c r="H62" s="36"/>
      <c r="I62" s="37">
        <f ca="1">SUM(I56:I60)</f>
        <v>80958.216639086022</v>
      </c>
      <c r="J62" s="51"/>
      <c r="K62" s="41"/>
    </row>
    <row r="63" spans="1:11" ht="19.5" customHeight="1">
      <c r="A63" s="41"/>
      <c r="B63" s="23"/>
      <c r="C63" s="83" t="s">
        <v>38</v>
      </c>
      <c r="D63" s="82"/>
      <c r="E63" s="82"/>
      <c r="F63" s="82"/>
      <c r="G63" s="82"/>
      <c r="H63" s="36"/>
      <c r="I63" s="37">
        <f ca="1">SUM(I56:I58,I60)</f>
        <v>78423.119864892476</v>
      </c>
      <c r="J63" s="51"/>
      <c r="K63" s="41"/>
    </row>
    <row r="64" spans="1:11" ht="11.25" customHeight="1">
      <c r="A64" s="41"/>
      <c r="B64" s="23"/>
      <c r="C64" s="41"/>
      <c r="D64" s="41"/>
      <c r="E64" s="41"/>
      <c r="F64" s="41"/>
      <c r="G64" s="41"/>
      <c r="H64" s="41"/>
      <c r="I64" s="41"/>
      <c r="J64" s="51"/>
      <c r="K64" s="41"/>
    </row>
    <row r="65" spans="1:11" ht="25.5" customHeight="1">
      <c r="A65" s="41"/>
      <c r="B65" s="23"/>
      <c r="C65" s="84" t="s">
        <v>39</v>
      </c>
      <c r="D65" s="82"/>
      <c r="E65" s="41"/>
      <c r="F65" s="41"/>
      <c r="G65" s="41"/>
      <c r="H65" s="41"/>
      <c r="I65" s="41"/>
      <c r="J65" s="51"/>
      <c r="K65" s="41"/>
    </row>
    <row r="66" spans="1:11" ht="19.5" customHeight="1">
      <c r="A66" s="41"/>
      <c r="B66" s="23"/>
      <c r="C66" s="83" t="s">
        <v>28</v>
      </c>
      <c r="D66" s="82"/>
      <c r="E66" s="82"/>
      <c r="F66" s="82"/>
      <c r="G66" s="82"/>
      <c r="H66" s="36"/>
      <c r="I66" s="37">
        <f ca="1">Acordo!$B$17</f>
        <v>5348.6090707258063</v>
      </c>
      <c r="K66" s="41"/>
    </row>
    <row r="67" spans="1:11" ht="19.5" customHeight="1">
      <c r="A67" s="41"/>
      <c r="B67" s="23"/>
      <c r="C67" s="81" t="s">
        <v>29</v>
      </c>
      <c r="D67" s="82"/>
      <c r="E67" s="82"/>
      <c r="F67" s="82"/>
      <c r="G67" s="82"/>
      <c r="H67" s="39"/>
      <c r="I67" s="40">
        <f ca="1">Acordo!$B$23</f>
        <v>2786.0271216666665</v>
      </c>
      <c r="K67" s="41"/>
    </row>
    <row r="68" spans="1:11" ht="19.5" customHeight="1">
      <c r="A68" s="41"/>
      <c r="B68" s="23"/>
      <c r="C68" s="81" t="s">
        <v>30</v>
      </c>
      <c r="D68" s="82"/>
      <c r="E68" s="82"/>
      <c r="F68" s="82"/>
      <c r="G68" s="82"/>
      <c r="H68" s="39"/>
      <c r="I68" s="40">
        <f ca="1">Acordo!$B$31</f>
        <v>0</v>
      </c>
      <c r="K68" s="41"/>
    </row>
    <row r="69" spans="1:11" ht="19.5" customHeight="1">
      <c r="A69" s="41"/>
      <c r="B69" s="23"/>
      <c r="C69" s="81" t="s">
        <v>31</v>
      </c>
      <c r="D69" s="82"/>
      <c r="E69" s="82"/>
      <c r="F69" s="82"/>
      <c r="G69" s="82"/>
      <c r="H69" s="39"/>
      <c r="I69" s="40">
        <f ca="1">Acordo!$B$41</f>
        <v>1267.5483870967741</v>
      </c>
      <c r="K69" s="41"/>
    </row>
    <row r="70" spans="1:11" ht="19.5" customHeight="1">
      <c r="A70" s="41"/>
      <c r="B70" s="23"/>
      <c r="C70" s="81" t="s">
        <v>36</v>
      </c>
      <c r="D70" s="82"/>
      <c r="E70" s="82"/>
      <c r="F70" s="82"/>
      <c r="G70" s="82"/>
      <c r="H70" s="39"/>
      <c r="I70" s="40">
        <f>Acordo!$B$44</f>
        <v>48000</v>
      </c>
      <c r="K70" s="41"/>
    </row>
    <row r="71" spans="1:11" ht="6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</row>
    <row r="72" spans="1:11" ht="19.5" customHeight="1">
      <c r="A72" s="41"/>
      <c r="B72" s="23"/>
      <c r="C72" s="83" t="s">
        <v>33</v>
      </c>
      <c r="D72" s="82"/>
      <c r="E72" s="82"/>
      <c r="F72" s="82"/>
      <c r="G72" s="82"/>
      <c r="H72" s="36"/>
      <c r="I72" s="37">
        <f ca="1">SUM(I66:I70)</f>
        <v>57402.184579489243</v>
      </c>
      <c r="K72" s="41"/>
    </row>
    <row r="73" spans="1:11" ht="19.5" customHeight="1">
      <c r="A73" s="41"/>
      <c r="B73" s="23"/>
      <c r="C73" s="86"/>
      <c r="D73" s="87"/>
      <c r="E73" s="56"/>
      <c r="F73" s="57"/>
      <c r="G73" s="57"/>
      <c r="H73" s="57"/>
      <c r="I73" s="56"/>
      <c r="K73" s="41"/>
    </row>
    <row r="74" spans="1:11" ht="9" customHeight="1">
      <c r="A74" s="41"/>
      <c r="B74" s="23"/>
      <c r="C74" s="17"/>
      <c r="D74" s="17"/>
      <c r="E74" s="17"/>
      <c r="F74" s="18"/>
      <c r="G74" s="18"/>
      <c r="H74" s="18"/>
      <c r="I74" s="17"/>
      <c r="K74" s="41"/>
    </row>
    <row r="75" spans="1:11" ht="18.600000000000001" customHeight="1">
      <c r="A75" s="41"/>
      <c r="B75" s="23"/>
      <c r="C75" s="85" t="s">
        <v>40</v>
      </c>
      <c r="D75" s="82"/>
      <c r="E75" s="82"/>
      <c r="F75" s="58"/>
      <c r="G75" s="58"/>
      <c r="H75" s="58"/>
      <c r="I75" s="59"/>
      <c r="J75" s="60"/>
      <c r="K75" s="41"/>
    </row>
    <row r="76" spans="1:11" ht="84.95" customHeight="1">
      <c r="A76" s="41"/>
      <c r="B76" s="23"/>
      <c r="C76" s="88" t="s">
        <v>41</v>
      </c>
      <c r="D76" s="82"/>
      <c r="E76" s="82"/>
      <c r="F76" s="82"/>
      <c r="G76" s="82"/>
      <c r="H76" s="82"/>
      <c r="I76" s="82"/>
      <c r="J76" s="28"/>
      <c r="K76" s="41"/>
    </row>
    <row r="77" spans="1:11" ht="19.5" customHeight="1">
      <c r="A77" s="41"/>
      <c r="B77" s="23"/>
      <c r="C77" s="61"/>
      <c r="D77" s="61"/>
      <c r="E77" s="61"/>
      <c r="F77" s="62"/>
      <c r="G77" s="62"/>
      <c r="H77" s="62"/>
      <c r="I77" s="62"/>
      <c r="J77" s="41"/>
      <c r="K77" s="41"/>
    </row>
    <row r="78" spans="1:11" ht="28.5" customHeight="1">
      <c r="A78" s="41"/>
      <c r="B78" s="23"/>
      <c r="C78" s="85" t="s">
        <v>42</v>
      </c>
      <c r="D78" s="82"/>
      <c r="E78" s="82"/>
      <c r="F78" s="62"/>
      <c r="G78" s="62"/>
      <c r="H78" s="62"/>
      <c r="I78" s="62"/>
      <c r="J78" s="41"/>
      <c r="K78" s="41"/>
    </row>
    <row r="79" spans="1:11" ht="105.75" customHeight="1">
      <c r="A79" s="41"/>
      <c r="B79" s="23"/>
      <c r="C79" s="88" t="s">
        <v>43</v>
      </c>
      <c r="D79" s="82"/>
      <c r="E79" s="82"/>
      <c r="F79" s="82"/>
      <c r="G79" s="82"/>
      <c r="H79" s="82"/>
      <c r="I79" s="82"/>
      <c r="J79" s="41"/>
      <c r="K79" s="41"/>
    </row>
  </sheetData>
  <mergeCells count="59">
    <mergeCell ref="C56:G56"/>
    <mergeCell ref="C57:G57"/>
    <mergeCell ref="C48:G48"/>
    <mergeCell ref="C49:G49"/>
    <mergeCell ref="C50:G50"/>
    <mergeCell ref="C52:G52"/>
    <mergeCell ref="C54:D54"/>
    <mergeCell ref="C39:G39"/>
    <mergeCell ref="C42:G42"/>
    <mergeCell ref="C44:D44"/>
    <mergeCell ref="C46:G46"/>
    <mergeCell ref="C47:G47"/>
    <mergeCell ref="C33:E33"/>
    <mergeCell ref="C34:G34"/>
    <mergeCell ref="C35:G35"/>
    <mergeCell ref="C36:G36"/>
    <mergeCell ref="C37:G37"/>
    <mergeCell ref="C26:G26"/>
    <mergeCell ref="C27:G27"/>
    <mergeCell ref="C28:G28"/>
    <mergeCell ref="C29:G29"/>
    <mergeCell ref="C31:G31"/>
    <mergeCell ref="C19:G19"/>
    <mergeCell ref="C20:G20"/>
    <mergeCell ref="C22:G22"/>
    <mergeCell ref="C23:G23"/>
    <mergeCell ref="C25:E25"/>
    <mergeCell ref="C79:I79"/>
    <mergeCell ref="F11:G11"/>
    <mergeCell ref="I11:J11"/>
    <mergeCell ref="B3:E3"/>
    <mergeCell ref="B5:J5"/>
    <mergeCell ref="B7:C7"/>
    <mergeCell ref="B8:C8"/>
    <mergeCell ref="E8:G8"/>
    <mergeCell ref="B9:J9"/>
    <mergeCell ref="B11:D11"/>
    <mergeCell ref="B12:C12"/>
    <mergeCell ref="B13:C13"/>
    <mergeCell ref="B14:C14"/>
    <mergeCell ref="C16:J16"/>
    <mergeCell ref="C17:E17"/>
    <mergeCell ref="C18:G18"/>
    <mergeCell ref="C65:D65"/>
    <mergeCell ref="C66:G66"/>
    <mergeCell ref="C75:E75"/>
    <mergeCell ref="C78:E78"/>
    <mergeCell ref="C67:G67"/>
    <mergeCell ref="C68:G68"/>
    <mergeCell ref="C69:G69"/>
    <mergeCell ref="C70:G70"/>
    <mergeCell ref="C72:G72"/>
    <mergeCell ref="C73:D73"/>
    <mergeCell ref="C76:I76"/>
    <mergeCell ref="C58:G58"/>
    <mergeCell ref="C59:G59"/>
    <mergeCell ref="C60:G60"/>
    <mergeCell ref="C62:G62"/>
    <mergeCell ref="C63:G63"/>
  </mergeCells>
  <conditionalFormatting sqref="C18:I20 C22:I23 C26:I29 C31:I31 C34:I37 C39:I39 C46:I50 C52:I52 C56:I60 C62:I63 C66:I70 C72:I72">
    <cfRule type="expression" dxfId="0" priority="1">
      <formula>ISODD(ROW())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H16"/>
  <sheetViews>
    <sheetView workbookViewId="0"/>
  </sheetViews>
  <sheetFormatPr defaultColWidth="14.42578125" defaultRowHeight="15.75" customHeight="1"/>
  <cols>
    <col min="1" max="1" width="44.5703125" customWidth="1"/>
    <col min="4" max="4" width="17.85546875" customWidth="1"/>
  </cols>
  <sheetData>
    <row r="2" spans="1:8" ht="15.75" customHeight="1">
      <c r="A2" s="63" t="s">
        <v>6</v>
      </c>
      <c r="B2" s="64">
        <f>Calculadora!$D$12</f>
        <v>8732</v>
      </c>
      <c r="E2" s="63" t="s">
        <v>44</v>
      </c>
    </row>
    <row r="3" spans="1:8" ht="15.75" customHeight="1">
      <c r="A3" s="63" t="s">
        <v>45</v>
      </c>
      <c r="B3" s="65">
        <f>Calculadora!$D$13</f>
        <v>3</v>
      </c>
      <c r="D3" s="66"/>
      <c r="E3" s="64">
        <v>0</v>
      </c>
      <c r="F3" s="64">
        <v>1100</v>
      </c>
      <c r="G3" s="67">
        <v>7.4999999999999997E-2</v>
      </c>
    </row>
    <row r="4" spans="1:8" ht="15.75" customHeight="1">
      <c r="A4" s="63" t="s">
        <v>46</v>
      </c>
      <c r="B4" s="63">
        <v>0</v>
      </c>
      <c r="D4" s="66"/>
      <c r="E4" s="64">
        <v>1100.01</v>
      </c>
      <c r="F4" s="64">
        <v>2203.48</v>
      </c>
      <c r="G4" s="67">
        <v>0.09</v>
      </c>
    </row>
    <row r="5" spans="1:8" ht="15.75" customHeight="1">
      <c r="A5" s="63" t="s">
        <v>44</v>
      </c>
      <c r="B5" s="68">
        <f>IF($B$2&lt;=$F$3,$B$2*$G$3,IF($B$2&lt;=$F$4,$F$3*$G$3+($B$2-$E$4)*$G$4,IF($B$2&lt;=$F$5,$F$3*$G$3+($F$4-$E$4)*$G$4+($B$2-$E$5)*$G$5,IF($B$2&lt;=$F$6,$F$3*$G$3+($F$4-$E$4)*$G$4+($F$5-$E$5)*$G$5+($B$2-$E$6)*$G$6,IF($B$2&gt;=$F$6,$F$3*$G$3+($F$4-$E$4)*$G$4+($F$5-$E$5)*$G$5+($B$2-$E$6)*$G$6)))))</f>
        <v>1073.7677000000001</v>
      </c>
      <c r="D5" s="66"/>
      <c r="E5" s="64">
        <v>2203.4899999999998</v>
      </c>
      <c r="F5" s="64">
        <v>3305.22</v>
      </c>
      <c r="G5" s="67">
        <v>0.12</v>
      </c>
    </row>
    <row r="6" spans="1:8" ht="15.75" customHeight="1">
      <c r="A6" s="63" t="s">
        <v>9</v>
      </c>
      <c r="B6" s="68">
        <f>189.59*B3</f>
        <v>568.77</v>
      </c>
      <c r="D6" s="66"/>
      <c r="E6" s="64">
        <v>3305.23</v>
      </c>
      <c r="F6" s="64">
        <v>6433.57</v>
      </c>
      <c r="G6" s="67">
        <v>0.14000000000000001</v>
      </c>
    </row>
    <row r="7" spans="1:8" ht="15.75" customHeight="1">
      <c r="A7" s="63" t="s">
        <v>47</v>
      </c>
      <c r="B7" s="68">
        <f>B2-B5-B6-B4</f>
        <v>7089.4622999999992</v>
      </c>
      <c r="D7" s="66"/>
    </row>
    <row r="8" spans="1:8" ht="15.75" customHeight="1">
      <c r="A8" s="63" t="s">
        <v>48</v>
      </c>
      <c r="B8" s="68">
        <f>IF((B7)&lt;=F10,0,IF((B7)&lt;=F11,B7*G11-H11,IF((B7)&lt;=F12,B7*G12-H12,IF((B7)&lt;F13,B7*G13-H13,IF((B7)&gt;=E14,B7*G14-H14)))))</f>
        <v>1080.2421325</v>
      </c>
      <c r="D8" s="66"/>
      <c r="E8" s="66"/>
      <c r="F8" s="66"/>
      <c r="G8" s="69"/>
    </row>
    <row r="9" spans="1:8" ht="15.75" customHeight="1">
      <c r="A9" s="63" t="s">
        <v>49</v>
      </c>
      <c r="B9" s="68">
        <f>B2-B4-B5-B8</f>
        <v>6577.9901675000001</v>
      </c>
      <c r="E9" s="63" t="s">
        <v>48</v>
      </c>
    </row>
    <row r="10" spans="1:8" ht="15.75" customHeight="1">
      <c r="A10" s="63" t="s">
        <v>50</v>
      </c>
      <c r="B10" s="68">
        <f>B2*0.08</f>
        <v>698.56000000000006</v>
      </c>
      <c r="E10" s="64">
        <v>0</v>
      </c>
      <c r="F10" s="64">
        <v>1903.98</v>
      </c>
      <c r="G10" s="63" t="s">
        <v>51</v>
      </c>
      <c r="H10" s="64">
        <v>0</v>
      </c>
    </row>
    <row r="11" spans="1:8" ht="15.75" customHeight="1">
      <c r="E11" s="64">
        <v>1903.99</v>
      </c>
      <c r="F11" s="64">
        <v>2826.65</v>
      </c>
      <c r="G11" s="67">
        <v>7.4999999999999997E-2</v>
      </c>
      <c r="H11" s="64">
        <v>142.80000000000001</v>
      </c>
    </row>
    <row r="12" spans="1:8" ht="15.75" customHeight="1">
      <c r="E12" s="64">
        <v>2826.66</v>
      </c>
      <c r="F12" s="64">
        <v>3751.05</v>
      </c>
      <c r="G12" s="67">
        <v>0.15</v>
      </c>
      <c r="H12" s="64">
        <v>354.8</v>
      </c>
    </row>
    <row r="13" spans="1:8" ht="15.75" customHeight="1">
      <c r="E13" s="64">
        <v>3751.06</v>
      </c>
      <c r="F13" s="64">
        <v>4664.68</v>
      </c>
      <c r="G13" s="67">
        <v>0.22500000000000001</v>
      </c>
      <c r="H13" s="64">
        <v>636.13</v>
      </c>
    </row>
    <row r="14" spans="1:8" ht="15.75" customHeight="1">
      <c r="E14" s="64">
        <v>4664.6899999999996</v>
      </c>
      <c r="F14" s="68"/>
      <c r="G14" s="67">
        <v>0.27500000000000002</v>
      </c>
      <c r="H14" s="64">
        <v>869.36</v>
      </c>
    </row>
    <row r="15" spans="1:8" ht="15.75" customHeight="1">
      <c r="G15" s="69"/>
    </row>
    <row r="16" spans="1:8" ht="15.75" customHeight="1">
      <c r="G16" s="69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J15"/>
  <sheetViews>
    <sheetView workbookViewId="0"/>
  </sheetViews>
  <sheetFormatPr defaultColWidth="14.42578125" defaultRowHeight="15.75" customHeight="1"/>
  <cols>
    <col min="1" max="1" width="41.85546875" customWidth="1"/>
  </cols>
  <sheetData>
    <row r="2" spans="1:10" ht="14.25">
      <c r="A2" s="63" t="s">
        <v>21</v>
      </c>
      <c r="B2" s="64">
        <f>Calculadora!$D$12</f>
        <v>8732</v>
      </c>
      <c r="G2" s="70" t="s">
        <v>44</v>
      </c>
    </row>
    <row r="3" spans="1:10" ht="15.75" customHeight="1">
      <c r="A3" s="63" t="s">
        <v>45</v>
      </c>
      <c r="B3" s="65">
        <f>Calculadora!$D$13</f>
        <v>3</v>
      </c>
      <c r="G3" s="64">
        <v>0</v>
      </c>
      <c r="H3" s="64">
        <v>1100</v>
      </c>
      <c r="I3" s="63">
        <v>7.4999999999999997E-2</v>
      </c>
    </row>
    <row r="4" spans="1:10" ht="15.75" customHeight="1">
      <c r="A4" s="63" t="s">
        <v>52</v>
      </c>
      <c r="B4" s="71">
        <f>Calculadora!$D$14</f>
        <v>43700</v>
      </c>
      <c r="C4" s="72" t="str">
        <f>IF(YEAR(B4)&lt;2021,"01/01/2021",B4)</f>
        <v>01/01/2021</v>
      </c>
      <c r="D4" s="63" t="s">
        <v>53</v>
      </c>
      <c r="E4" s="65">
        <f>IF(DAY(C4)&lt;15,MONTH(C4),MONTH(C4)+1)</f>
        <v>1</v>
      </c>
      <c r="G4" s="64">
        <v>1100.01</v>
      </c>
      <c r="H4" s="64">
        <v>2203.48</v>
      </c>
      <c r="I4" s="67">
        <v>0.09</v>
      </c>
    </row>
    <row r="5" spans="1:10" ht="15.75" customHeight="1">
      <c r="A5" s="63" t="s">
        <v>54</v>
      </c>
      <c r="B5" s="71">
        <f ca="1">IFERROR(IF(OR(Calculadora!$G$12=0,Calculadora!$G$12=""),DATE(YEAR(TODAY()),12,31),Calculadora!$G$12),DATE(YEAR(TODAY()),12,31))</f>
        <v>45291</v>
      </c>
      <c r="C5" s="73" t="s">
        <v>89</v>
      </c>
      <c r="D5" s="63" t="s">
        <v>53</v>
      </c>
      <c r="E5" s="65">
        <f ca="1">IF(DAY(B5)&lt;15,MONTH(B5),MONTH(B5)+1)</f>
        <v>13</v>
      </c>
      <c r="G5" s="64">
        <v>2203.4899999999998</v>
      </c>
      <c r="H5" s="64">
        <v>3305.22</v>
      </c>
      <c r="I5" s="67">
        <v>0.12</v>
      </c>
    </row>
    <row r="6" spans="1:10" ht="15.75" customHeight="1">
      <c r="A6" s="63" t="s">
        <v>55</v>
      </c>
      <c r="B6" s="74">
        <f ca="1">E5-E4</f>
        <v>12</v>
      </c>
      <c r="G6" s="64">
        <v>3305.23</v>
      </c>
      <c r="H6" s="64">
        <v>6433.57</v>
      </c>
      <c r="I6" s="67">
        <v>0.14000000000000001</v>
      </c>
    </row>
    <row r="7" spans="1:10" ht="15.75" customHeight="1">
      <c r="A7" s="63" t="s">
        <v>56</v>
      </c>
      <c r="B7" s="68">
        <f ca="1">B2/12*B6</f>
        <v>8732</v>
      </c>
    </row>
    <row r="8" spans="1:10" ht="15.75" customHeight="1">
      <c r="A8" s="63" t="s">
        <v>57</v>
      </c>
      <c r="B8" s="68">
        <f ca="1">IF(B7&lt;=H3,B7*I3,IF(B7&lt;=H4,H3*I3+(B7-G4)*I4,IF(B7&lt;=H5,H3*I3+(H4-G4)*I4+(B7-G5)*I5,IF(B7&lt;=H6,H3*I3+(H4-G4)*I4+(H5-G5)*I5+(B7-G6)*I6,IF(B7&gt;H6,H3*I3+(H4-G4)*I4+(H5-G5)*I5+(B7-G6)*I6)))))</f>
        <v>1073.7677000000001</v>
      </c>
    </row>
    <row r="9" spans="1:10" ht="14.25">
      <c r="A9" s="63" t="s">
        <v>9</v>
      </c>
      <c r="B9" s="68">
        <f>189.59*B3</f>
        <v>568.77</v>
      </c>
      <c r="G9" s="75"/>
    </row>
    <row r="10" spans="1:10" ht="15.75" customHeight="1">
      <c r="A10" s="63" t="s">
        <v>58</v>
      </c>
      <c r="B10" s="68">
        <f ca="1">B7-B8-B9</f>
        <v>7089.4622999999992</v>
      </c>
      <c r="G10" s="63" t="s">
        <v>48</v>
      </c>
    </row>
    <row r="11" spans="1:10" ht="15.75" customHeight="1">
      <c r="A11" s="63" t="s">
        <v>59</v>
      </c>
      <c r="B11" s="68">
        <f ca="1">IF((B10)&lt;=H11,0,IF((B10)&lt;=H12,B10*I12-J12,IF((B10)&lt;=H13,B10*I13-J13,IF((B10)&lt;H14,B10*I14-J14,IF((B10)&gt;=G15,B10*I15-J15)))))</f>
        <v>1080.2421325</v>
      </c>
      <c r="G11" s="64">
        <v>0</v>
      </c>
      <c r="H11" s="64">
        <v>1903.98</v>
      </c>
      <c r="I11" s="63" t="s">
        <v>51</v>
      </c>
      <c r="J11" s="64">
        <v>0</v>
      </c>
    </row>
    <row r="12" spans="1:10" ht="15.75" customHeight="1">
      <c r="A12" s="63" t="s">
        <v>60</v>
      </c>
      <c r="B12" s="68">
        <f ca="1">B7-B8-B11</f>
        <v>6577.9901675000001</v>
      </c>
      <c r="G12" s="64">
        <v>1903.99</v>
      </c>
      <c r="H12" s="64">
        <v>2826.65</v>
      </c>
      <c r="I12" s="67">
        <v>7.4999999999999997E-2</v>
      </c>
      <c r="J12" s="64">
        <v>142.80000000000001</v>
      </c>
    </row>
    <row r="13" spans="1:10" ht="15.75" customHeight="1">
      <c r="G13" s="64">
        <v>2826.66</v>
      </c>
      <c r="H13" s="64">
        <v>3751.05</v>
      </c>
      <c r="I13" s="67">
        <v>0.15</v>
      </c>
      <c r="J13" s="64">
        <v>354.8</v>
      </c>
    </row>
    <row r="14" spans="1:10" ht="15.75" customHeight="1">
      <c r="B14" s="73">
        <f ca="1">DAY(DATE(YEAR(TODAY()),MONTH(12),DAY(31)))</f>
        <v>31</v>
      </c>
      <c r="G14" s="64">
        <v>3751.06</v>
      </c>
      <c r="H14" s="64">
        <v>4664.68</v>
      </c>
      <c r="I14" s="67">
        <v>0.22500000000000001</v>
      </c>
      <c r="J14" s="64">
        <v>636.13</v>
      </c>
    </row>
    <row r="15" spans="1:10" ht="15.75" customHeight="1">
      <c r="G15" s="64">
        <v>4664.6899999999996</v>
      </c>
      <c r="H15" s="68"/>
      <c r="I15" s="67">
        <v>0.27500000000000002</v>
      </c>
      <c r="J15" s="64">
        <v>869.36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H15"/>
  <sheetViews>
    <sheetView workbookViewId="0"/>
  </sheetViews>
  <sheetFormatPr defaultColWidth="14.42578125" defaultRowHeight="15.75" customHeight="1"/>
  <cols>
    <col min="1" max="1" width="42.28515625" customWidth="1"/>
  </cols>
  <sheetData>
    <row r="2" spans="1:8" ht="14.25">
      <c r="A2" s="63" t="s">
        <v>6</v>
      </c>
      <c r="B2" s="64">
        <f>Calculadora!$D$12</f>
        <v>8732</v>
      </c>
      <c r="E2" s="70" t="s">
        <v>44</v>
      </c>
    </row>
    <row r="3" spans="1:8" ht="15.75" customHeight="1">
      <c r="A3" s="63" t="s">
        <v>45</v>
      </c>
      <c r="B3" s="65">
        <f>Calculadora!$D$13</f>
        <v>3</v>
      </c>
      <c r="D3" s="66"/>
      <c r="E3" s="64">
        <v>0</v>
      </c>
      <c r="F3" s="64">
        <v>1100</v>
      </c>
      <c r="G3" s="67">
        <v>7.4999999999999997E-2</v>
      </c>
    </row>
    <row r="4" spans="1:8" ht="15.75" customHeight="1">
      <c r="A4" s="63" t="s">
        <v>46</v>
      </c>
      <c r="B4" s="65">
        <v>0</v>
      </c>
      <c r="D4" s="66"/>
      <c r="E4" s="64">
        <v>1100.01</v>
      </c>
      <c r="F4" s="64">
        <v>2203.48</v>
      </c>
      <c r="G4" s="67">
        <v>0.09</v>
      </c>
    </row>
    <row r="5" spans="1:8" ht="15.75" customHeight="1">
      <c r="A5" s="63" t="s">
        <v>61</v>
      </c>
      <c r="B5" s="65">
        <f>Calculadora!$J$12</f>
        <v>0</v>
      </c>
      <c r="D5" s="66"/>
      <c r="E5" s="64">
        <v>2203.4899999999998</v>
      </c>
      <c r="F5" s="64">
        <v>3305.22</v>
      </c>
      <c r="G5" s="67">
        <v>0.12</v>
      </c>
    </row>
    <row r="6" spans="1:8" ht="15.75" customHeight="1">
      <c r="A6" s="63" t="s">
        <v>62</v>
      </c>
      <c r="B6" s="68">
        <f>(B2/30*B5+((B2/30*B5)/3))</f>
        <v>0</v>
      </c>
      <c r="D6" s="66"/>
      <c r="E6" s="64">
        <v>3305.23</v>
      </c>
      <c r="F6" s="64">
        <v>6433.57</v>
      </c>
      <c r="G6" s="67">
        <v>0.14000000000000001</v>
      </c>
    </row>
    <row r="7" spans="1:8" ht="15.75" customHeight="1">
      <c r="A7" s="63" t="s">
        <v>44</v>
      </c>
      <c r="B7" s="68">
        <f>IF(B6&lt;=$F$3,B6*$G$3,IF(B6&lt;=$F$4,$F$3*$G$3+(B6-$E$4)*$G$4,IF(B6&lt;=$F$5,$F$3*$G$3+($F$4-$E$4)*$G$4+(B6-$E$5)*$G$5,IF(B6&lt;=$F$6,$F$3*$G$3+($F$4-$E$4)*$G$4+($F$5-$E$5)*$G$5+(B6-$E$6)*$G$6,IF(B6&gt;=$F$6,$F$3*$G$3+($F$4-$E$4)*$G$4+($F$5-$E$5)*$G$5+(B6-$E$6)*$G$6)))))</f>
        <v>0</v>
      </c>
      <c r="D7" s="66"/>
      <c r="G7" s="69"/>
    </row>
    <row r="8" spans="1:8" ht="15.75" customHeight="1">
      <c r="A8" s="63" t="s">
        <v>9</v>
      </c>
      <c r="B8" s="68">
        <f>189.59*B3</f>
        <v>568.77</v>
      </c>
      <c r="D8" s="66"/>
      <c r="E8" s="66"/>
      <c r="F8" s="66"/>
      <c r="G8" s="69"/>
    </row>
    <row r="9" spans="1:8" ht="14.25">
      <c r="A9" s="63" t="s">
        <v>63</v>
      </c>
      <c r="B9" s="68">
        <f>B2-B7-B8</f>
        <v>8163.23</v>
      </c>
      <c r="E9" s="70" t="s">
        <v>48</v>
      </c>
    </row>
    <row r="10" spans="1:8" ht="15.75" customHeight="1">
      <c r="A10" s="63" t="s">
        <v>48</v>
      </c>
      <c r="B10" s="68">
        <f>IF(B5=0,0,(IF((B9)&lt;=F10,0,IF((B9)&lt;=F11,B9*G11-H11,IF((B9)&lt;=F12,B9*G12-H12,IF((B9)&lt;F13,B9*G13-H13,IF((B9)&gt;=E14,B9*G14-H14)))))))</f>
        <v>0</v>
      </c>
      <c r="E10" s="64">
        <v>0</v>
      </c>
      <c r="F10" s="64">
        <v>1903.98</v>
      </c>
      <c r="G10" s="63" t="s">
        <v>51</v>
      </c>
      <c r="H10" s="64">
        <v>0</v>
      </c>
    </row>
    <row r="11" spans="1:8" ht="15.75" customHeight="1">
      <c r="A11" s="63" t="s">
        <v>64</v>
      </c>
      <c r="B11" s="68">
        <f>(B2/30*B5+((B2/30*B5)/3))-(B7/30*B5)-(B10/30*B5)</f>
        <v>0</v>
      </c>
      <c r="E11" s="64">
        <v>1903.99</v>
      </c>
      <c r="F11" s="64">
        <v>2826.65</v>
      </c>
      <c r="G11" s="67">
        <v>7.4999999999999997E-2</v>
      </c>
      <c r="H11" s="64">
        <v>142.80000000000001</v>
      </c>
    </row>
    <row r="12" spans="1:8" ht="15.75" customHeight="1">
      <c r="E12" s="64">
        <v>2826.66</v>
      </c>
      <c r="F12" s="64">
        <v>3751.05</v>
      </c>
      <c r="G12" s="67">
        <v>0.15</v>
      </c>
      <c r="H12" s="64">
        <v>354.8</v>
      </c>
    </row>
    <row r="13" spans="1:8" ht="15.75" customHeight="1">
      <c r="E13" s="64">
        <v>3751.06</v>
      </c>
      <c r="F13" s="64">
        <v>4664.68</v>
      </c>
      <c r="G13" s="67">
        <v>0.22500000000000001</v>
      </c>
      <c r="H13" s="64">
        <v>636.13</v>
      </c>
    </row>
    <row r="14" spans="1:8" ht="15.75" customHeight="1">
      <c r="E14" s="64">
        <v>4664.6899999999996</v>
      </c>
      <c r="F14" s="68"/>
      <c r="G14" s="67">
        <v>0.27500000000000002</v>
      </c>
      <c r="H14" s="64">
        <v>869.36</v>
      </c>
    </row>
    <row r="15" spans="1:8" ht="15.75" customHeight="1">
      <c r="G15" s="6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4.42578125" defaultRowHeight="15.75" customHeight="1"/>
  <cols>
    <col min="1" max="1" width="42.28515625" customWidth="1"/>
  </cols>
  <sheetData>
    <row r="1" spans="1:10" ht="15.75" customHeight="1">
      <c r="E1" s="66"/>
      <c r="F1" s="66"/>
      <c r="G1" s="66"/>
    </row>
    <row r="2" spans="1:10" ht="14.25">
      <c r="A2" s="63" t="s">
        <v>6</v>
      </c>
      <c r="B2" s="64">
        <f>Calculadora!$D$12</f>
        <v>8732</v>
      </c>
      <c r="G2" s="70" t="s">
        <v>44</v>
      </c>
    </row>
    <row r="3" spans="1:10" ht="15.75" customHeight="1">
      <c r="A3" s="63" t="s">
        <v>45</v>
      </c>
      <c r="B3" s="65">
        <f>Calculadora!$D$13</f>
        <v>3</v>
      </c>
      <c r="G3" s="64">
        <v>0</v>
      </c>
      <c r="H3" s="64">
        <v>1100</v>
      </c>
      <c r="I3" s="67">
        <v>7.4999999999999997E-2</v>
      </c>
    </row>
    <row r="4" spans="1:10" ht="15.75" customHeight="1">
      <c r="A4" s="63" t="s">
        <v>46</v>
      </c>
      <c r="B4" s="63">
        <v>0</v>
      </c>
      <c r="G4" s="64">
        <v>1100.01</v>
      </c>
      <c r="H4" s="64">
        <v>2203.48</v>
      </c>
      <c r="I4" s="67">
        <v>0.09</v>
      </c>
    </row>
    <row r="5" spans="1:10" ht="15.75" customHeight="1">
      <c r="A5" s="63" t="s">
        <v>65</v>
      </c>
      <c r="B5" s="72">
        <f>Calculadora!$D$14</f>
        <v>43700</v>
      </c>
      <c r="C5" s="72">
        <f>IF(YEAR(B5)&lt;2021,DATE(2021,1,1),B5)</f>
        <v>44197</v>
      </c>
      <c r="D5" s="63" t="s">
        <v>53</v>
      </c>
      <c r="E5" s="65">
        <f>IF(DAY(C5)&lt;15,MONTH(C5),MONTH(C5)+1)</f>
        <v>1</v>
      </c>
      <c r="G5" s="64">
        <v>2203.4899999999998</v>
      </c>
      <c r="H5" s="64">
        <v>3305.22</v>
      </c>
      <c r="I5" s="67">
        <v>0.12</v>
      </c>
    </row>
    <row r="6" spans="1:10" ht="15.75" customHeight="1">
      <c r="A6" s="63" t="s">
        <v>66</v>
      </c>
      <c r="B6" s="72">
        <f ca="1">IFERROR(IF(Calculadora!$G$12=0,TODAY(),Calculadora!$G$12),TODAY())</f>
        <v>45070</v>
      </c>
      <c r="D6" s="63" t="s">
        <v>53</v>
      </c>
      <c r="E6" s="63">
        <f ca="1">IF(DAY(B6)&lt;15,MONTH(B6),MONTH(B6)+1)</f>
        <v>6</v>
      </c>
      <c r="G6" s="64">
        <v>3305.23</v>
      </c>
      <c r="H6" s="64">
        <v>6433.57</v>
      </c>
      <c r="I6" s="67">
        <v>0.14000000000000001</v>
      </c>
    </row>
    <row r="7" spans="1:10" ht="15.75" customHeight="1">
      <c r="A7" s="63" t="s">
        <v>67</v>
      </c>
      <c r="B7" s="76">
        <f ca="1">DAY(EOMONTH(B6,0))</f>
        <v>31</v>
      </c>
    </row>
    <row r="8" spans="1:10" ht="15.75" customHeight="1">
      <c r="A8" s="63" t="s">
        <v>68</v>
      </c>
      <c r="B8" s="76">
        <f ca="1">DAY(B6)</f>
        <v>24</v>
      </c>
    </row>
    <row r="9" spans="1:10" ht="14.25">
      <c r="A9" s="63" t="s">
        <v>55</v>
      </c>
      <c r="B9" s="74">
        <f ca="1">E6-E5</f>
        <v>5</v>
      </c>
      <c r="G9" s="70" t="s">
        <v>48</v>
      </c>
    </row>
    <row r="10" spans="1:10" ht="15.75" customHeight="1">
      <c r="A10" s="76"/>
      <c r="B10" s="76"/>
      <c r="G10" s="64">
        <v>0</v>
      </c>
      <c r="H10" s="64">
        <v>1903.98</v>
      </c>
      <c r="I10" s="63" t="s">
        <v>51</v>
      </c>
      <c r="J10" s="64">
        <v>0</v>
      </c>
    </row>
    <row r="11" spans="1:10" ht="15.75" customHeight="1">
      <c r="A11" s="63" t="s">
        <v>69</v>
      </c>
      <c r="B11" s="68">
        <f ca="1">B2/B7*B8</f>
        <v>6760.2580645161288</v>
      </c>
      <c r="G11" s="64">
        <v>1903.99</v>
      </c>
      <c r="H11" s="64">
        <v>2826.65</v>
      </c>
      <c r="I11" s="67">
        <v>7.4999999999999997E-2</v>
      </c>
      <c r="J11" s="64">
        <v>142.80000000000001</v>
      </c>
    </row>
    <row r="12" spans="1:10" ht="15.75" customHeight="1">
      <c r="A12" s="63" t="s">
        <v>46</v>
      </c>
      <c r="B12" s="64">
        <v>0</v>
      </c>
      <c r="G12" s="64">
        <v>2826.66</v>
      </c>
      <c r="H12" s="64">
        <v>3751.05</v>
      </c>
      <c r="I12" s="67">
        <v>0.15</v>
      </c>
      <c r="J12" s="64">
        <v>354.8</v>
      </c>
    </row>
    <row r="13" spans="1:10" ht="15.75" customHeight="1">
      <c r="A13" s="63" t="s">
        <v>44</v>
      </c>
      <c r="B13" s="68">
        <f ca="1">IF(B11&lt;=$H$3,B11*$I$3,IF(B11&lt;=$H$4,$H$3*$I$3+(B11-$G$4)*$I$4,IF(B11&lt;=$H$5,$H$3*$I$3+($H$4-$G$4)*$I$4+(B11-$G$5)*$I$5,IF(B11&lt;=$H$6,$H$3*$I$3+($H$4-$G$4)*$I$4+($H$5-$G$5)*$I$5+(B11-$G$6)*$I$6,IF(B11&gt;=$H$6,$H$3*$I$3+($H$4-$G$4)*$I$4+($H$5-$G$5)*$I$5+(B11-$G$6)*$I$6)))))</f>
        <v>797.7238290322581</v>
      </c>
      <c r="G13" s="64">
        <v>3751.06</v>
      </c>
      <c r="H13" s="64">
        <v>4664.68</v>
      </c>
      <c r="I13" s="67">
        <v>0.22500000000000001</v>
      </c>
      <c r="J13" s="64">
        <v>636.13</v>
      </c>
    </row>
    <row r="14" spans="1:10" ht="15.75" customHeight="1">
      <c r="A14" s="63" t="s">
        <v>9</v>
      </c>
      <c r="B14" s="68">
        <f>189.59*B3</f>
        <v>568.77</v>
      </c>
      <c r="G14" s="64">
        <v>4664.6899999999996</v>
      </c>
      <c r="H14" s="68"/>
      <c r="I14" s="67">
        <v>0.27500000000000002</v>
      </c>
      <c r="J14" s="64">
        <v>869.36</v>
      </c>
    </row>
    <row r="15" spans="1:10" ht="15.75" customHeight="1">
      <c r="A15" s="63"/>
      <c r="B15" s="68">
        <f ca="1">B11-B13-B14</f>
        <v>5393.7642354838699</v>
      </c>
    </row>
    <row r="16" spans="1:10" ht="15.75" customHeight="1">
      <c r="A16" s="63" t="s">
        <v>48</v>
      </c>
      <c r="B16" s="68">
        <f ca="1">IF((B15)&lt;=H10,0,IF((B15)&lt;=H11,B15*I11-J11,IF((B15)&lt;=H12,B15*I12-J12,IF((B15)&lt;H13,B15*I13-J13,IF((B15)&gt;=G14,B15*I14-J14)))))</f>
        <v>613.9251647580644</v>
      </c>
    </row>
    <row r="17" spans="1:10" ht="15.75" customHeight="1">
      <c r="A17" s="77" t="s">
        <v>49</v>
      </c>
      <c r="B17" s="78">
        <f ca="1">B11-B13-B16</f>
        <v>5348.6090707258063</v>
      </c>
    </row>
    <row r="18" spans="1:10" ht="15.75" customHeight="1">
      <c r="A18" s="76"/>
      <c r="B18" s="76"/>
    </row>
    <row r="19" spans="1:10" ht="15.75" customHeight="1">
      <c r="A19" s="63" t="s">
        <v>56</v>
      </c>
      <c r="B19" s="68">
        <f ca="1">B2/12*B9</f>
        <v>3638.333333333333</v>
      </c>
      <c r="H19" s="66"/>
      <c r="I19" s="66"/>
      <c r="J19" s="69"/>
    </row>
    <row r="20" spans="1:10" ht="15.75" customHeight="1">
      <c r="A20" s="63" t="s">
        <v>57</v>
      </c>
      <c r="B20" s="68">
        <f ca="1">IF(B19&lt;=$H$3,B19*$I$3,IF(B19&lt;=$H$4,$H$3*$I$3+(B19-$G$4)*$I$4,IF(B19&lt;=$H$5,$H$3*$I$3+($H$4-$G$4)*$I$4+(B19-$G$5)*$I$5,IF(B19&lt;=$H$6,$H$3*$I$3+($H$4-$G$4)*$I$4+($H$5-$G$5)*$I$5+(B19-$G$6)*$I$6,IF(B19&gt;=$H$6,$H$3*$I$3+($H$4-$G$4)*$I$4+($H$5-$G$5)*$I$5+(B19-$G$6)*$I$6)))))</f>
        <v>360.65436666666665</v>
      </c>
      <c r="H20" s="66"/>
      <c r="I20" s="66"/>
      <c r="J20" s="69"/>
    </row>
    <row r="21" spans="1:10" ht="15.75" customHeight="1">
      <c r="A21" s="63" t="s">
        <v>9</v>
      </c>
      <c r="B21" s="68">
        <f>189.59*B3</f>
        <v>568.77</v>
      </c>
      <c r="H21" s="66"/>
      <c r="I21" s="66"/>
      <c r="J21" s="69"/>
    </row>
    <row r="22" spans="1:10" ht="15.75" customHeight="1">
      <c r="A22" s="63"/>
      <c r="B22" s="68">
        <f ca="1">B19-B20-B21</f>
        <v>2708.9089666666664</v>
      </c>
    </row>
    <row r="23" spans="1:10" ht="15.75" customHeight="1">
      <c r="A23" s="63" t="s">
        <v>59</v>
      </c>
      <c r="B23" s="68">
        <f ca="1">IF((B22)&lt;=H10,0,IF((B22)&lt;=H11,(B22)*I11,IF((B22)&lt;=H12,(B22)*I12,IF((B22)&lt;H13,(B22)*I13,IF((B22)&gt;=G14,(B22)*I14)))))</f>
        <v>203.16817249999997</v>
      </c>
    </row>
    <row r="24" spans="1:10" ht="15.75" customHeight="1">
      <c r="A24" s="77" t="s">
        <v>70</v>
      </c>
      <c r="B24" s="78">
        <f ca="1">B19-B20-B23</f>
        <v>3074.5107941666665</v>
      </c>
    </row>
    <row r="25" spans="1:10" ht="15.75" customHeight="1">
      <c r="A25" s="76"/>
      <c r="B25" s="76"/>
    </row>
    <row r="26" spans="1:10" ht="15.75" customHeight="1">
      <c r="A26" s="63" t="s">
        <v>65</v>
      </c>
      <c r="B26" s="72">
        <f>$B$5</f>
        <v>43700</v>
      </c>
    </row>
    <row r="27" spans="1:10" ht="15.75" customHeight="1">
      <c r="A27" s="63" t="s">
        <v>66</v>
      </c>
      <c r="B27" s="71">
        <f ca="1">$B$6</f>
        <v>45070</v>
      </c>
    </row>
    <row r="28" spans="1:10" ht="15.75" customHeight="1">
      <c r="A28" s="63" t="s">
        <v>71</v>
      </c>
      <c r="B28" s="76">
        <f ca="1">IF(DATEDIF(B26,B27,"M")&gt;12,12,DATEDIF(B26,B27,"M"))</f>
        <v>12</v>
      </c>
    </row>
    <row r="29" spans="1:10" ht="15.75" customHeight="1">
      <c r="A29" s="63" t="s">
        <v>72</v>
      </c>
      <c r="B29" s="76">
        <f ca="1">30/12*B28</f>
        <v>30</v>
      </c>
    </row>
    <row r="30" spans="1:10" ht="15.75" customHeight="1">
      <c r="A30" s="63" t="s">
        <v>73</v>
      </c>
      <c r="B30" s="65">
        <f>Calculadora!$G$14</f>
        <v>30</v>
      </c>
    </row>
    <row r="31" spans="1:10" ht="15.75" customHeight="1">
      <c r="A31" s="76"/>
      <c r="B31" s="76"/>
    </row>
    <row r="32" spans="1:10" ht="15.75" customHeight="1">
      <c r="A32" s="77" t="s">
        <v>62</v>
      </c>
      <c r="B32" s="78">
        <f ca="1">($B$2/30*(B29-B30)+(($B$2/30*(B29-B30))/3))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workbookViewId="0"/>
  </sheetViews>
  <sheetFormatPr defaultColWidth="14.42578125" defaultRowHeight="15.75" customHeight="1"/>
  <cols>
    <col min="1" max="1" width="42.28515625" customWidth="1"/>
    <col min="4" max="4" width="21.42578125" customWidth="1"/>
  </cols>
  <sheetData>
    <row r="1" spans="1:10" ht="15.75" customHeight="1">
      <c r="E1" s="66"/>
    </row>
    <row r="2" spans="1:10" ht="14.25">
      <c r="A2" s="63" t="s">
        <v>6</v>
      </c>
      <c r="B2" s="64">
        <f>Calculadora!$D$12</f>
        <v>8732</v>
      </c>
      <c r="G2" s="70" t="s">
        <v>44</v>
      </c>
    </row>
    <row r="3" spans="1:10" ht="15.75" customHeight="1">
      <c r="A3" s="63" t="s">
        <v>45</v>
      </c>
      <c r="B3" s="65">
        <f>Calculadora!$D$13</f>
        <v>3</v>
      </c>
      <c r="G3" s="64">
        <v>0</v>
      </c>
      <c r="H3" s="64">
        <v>1100</v>
      </c>
      <c r="I3" s="67">
        <v>7.4999999999999997E-2</v>
      </c>
    </row>
    <row r="4" spans="1:10" ht="15.75" customHeight="1">
      <c r="A4" s="63" t="s">
        <v>46</v>
      </c>
      <c r="B4" s="63">
        <v>0</v>
      </c>
      <c r="G4" s="64">
        <v>1100.01</v>
      </c>
      <c r="H4" s="64">
        <v>2203.48</v>
      </c>
      <c r="I4" s="67">
        <v>0.09</v>
      </c>
    </row>
    <row r="5" spans="1:10" ht="15.75" customHeight="1">
      <c r="A5" s="63" t="s">
        <v>65</v>
      </c>
      <c r="B5" s="72">
        <f>Calculadora!$D$14</f>
        <v>43700</v>
      </c>
      <c r="C5" s="72">
        <f>IF(YEAR(B5)&lt;2021,DATE(2021,1,1),B5)</f>
        <v>44197</v>
      </c>
      <c r="D5" s="63" t="s">
        <v>53</v>
      </c>
      <c r="E5" s="65">
        <f>IF(DAY(C5)&lt;15,MONTH(C5),MONTH(C5)+1)</f>
        <v>1</v>
      </c>
      <c r="G5" s="64">
        <v>2203.4899999999998</v>
      </c>
      <c r="H5" s="64">
        <v>3305.22</v>
      </c>
      <c r="I5" s="67">
        <v>0.12</v>
      </c>
    </row>
    <row r="6" spans="1:10" ht="15.75" customHeight="1">
      <c r="A6" s="63" t="s">
        <v>66</v>
      </c>
      <c r="B6" s="72">
        <f ca="1">IFERROR(IF(Calculadora!$G$12=0,TODAY(),Calculadora!$G$12),TODAY())</f>
        <v>45070</v>
      </c>
      <c r="D6" s="63" t="s">
        <v>53</v>
      </c>
      <c r="E6" s="63">
        <f ca="1">IF(DAY(B6)&lt;15,MONTH(B6),MONTH(B6)+1)</f>
        <v>6</v>
      </c>
      <c r="G6" s="64">
        <v>3305.23</v>
      </c>
      <c r="H6" s="64">
        <v>6433.57</v>
      </c>
      <c r="I6" s="67">
        <v>0.14000000000000001</v>
      </c>
    </row>
    <row r="7" spans="1:10" ht="15.75" customHeight="1">
      <c r="A7" s="63" t="s">
        <v>67</v>
      </c>
      <c r="B7" s="76">
        <f ca="1">DAY(EOMONTH(B6,0))</f>
        <v>31</v>
      </c>
      <c r="G7" s="66"/>
      <c r="H7" s="66"/>
      <c r="I7" s="69"/>
    </row>
    <row r="8" spans="1:10" ht="15.75" customHeight="1">
      <c r="A8" s="63" t="s">
        <v>68</v>
      </c>
      <c r="B8" s="76">
        <f ca="1">DAY(B6)</f>
        <v>24</v>
      </c>
      <c r="G8" s="66"/>
      <c r="H8" s="66"/>
      <c r="I8" s="69"/>
    </row>
    <row r="9" spans="1:10" ht="14.25">
      <c r="A9" s="63" t="s">
        <v>55</v>
      </c>
      <c r="B9" s="74">
        <f ca="1">E6-E5</f>
        <v>5</v>
      </c>
      <c r="G9" s="70" t="s">
        <v>48</v>
      </c>
    </row>
    <row r="10" spans="1:10" ht="15.75" customHeight="1">
      <c r="A10" s="76"/>
      <c r="B10" s="76"/>
      <c r="C10" s="66"/>
      <c r="G10" s="64">
        <v>0</v>
      </c>
      <c r="H10" s="64">
        <v>1903.98</v>
      </c>
      <c r="I10" s="63" t="s">
        <v>51</v>
      </c>
      <c r="J10" s="64">
        <v>0</v>
      </c>
    </row>
    <row r="11" spans="1:10" ht="15.75" customHeight="1">
      <c r="A11" s="63" t="s">
        <v>69</v>
      </c>
      <c r="B11" s="68">
        <f ca="1">B2/B7*B8</f>
        <v>6760.2580645161288</v>
      </c>
      <c r="C11" s="66"/>
      <c r="G11" s="64">
        <v>1903.99</v>
      </c>
      <c r="H11" s="64">
        <v>2826.65</v>
      </c>
      <c r="I11" s="67">
        <v>7.4999999999999997E-2</v>
      </c>
      <c r="J11" s="64">
        <v>142.80000000000001</v>
      </c>
    </row>
    <row r="12" spans="1:10" ht="15.75" customHeight="1">
      <c r="A12" s="63" t="s">
        <v>46</v>
      </c>
      <c r="B12" s="64">
        <v>0</v>
      </c>
      <c r="C12" s="66"/>
      <c r="G12" s="64">
        <v>2826.66</v>
      </c>
      <c r="H12" s="64">
        <v>3751.05</v>
      </c>
      <c r="I12" s="67">
        <v>0.15</v>
      </c>
      <c r="J12" s="64">
        <v>354.8</v>
      </c>
    </row>
    <row r="13" spans="1:10" ht="15.75" customHeight="1">
      <c r="A13" s="63" t="s">
        <v>44</v>
      </c>
      <c r="B13" s="68">
        <f ca="1">IF(B11&lt;=$H$3,B11*$I$3,IF(B11&lt;=$H$4,$H$3*$I$3+(B11-$G$4)*$I$4,IF(B11&lt;=$H$5,$H$3*$I$3+($H$4-$G$4)*$I$4+(B11-$G$5)*$I$5,IF(B11&lt;=$H$6,$H$3*$I$3+($H$4-$G$4)*$I$4+($H$5-$G$5)*$I$5+(B11-$G$6)*$I$6,IF(B11&gt;=$H$6,$H$3*$I$3+($H$4-$G$4)*$I$4+($H$5-$G$5)*$I$5+(B11-$G$6)*$I$6)))))</f>
        <v>797.7238290322581</v>
      </c>
      <c r="C13" s="66"/>
      <c r="G13" s="64">
        <v>3751.06</v>
      </c>
      <c r="H13" s="64">
        <v>4664.68</v>
      </c>
      <c r="I13" s="67">
        <v>0.22500000000000001</v>
      </c>
      <c r="J13" s="64">
        <v>636.13</v>
      </c>
    </row>
    <row r="14" spans="1:10" ht="15.75" customHeight="1">
      <c r="A14" s="63" t="s">
        <v>9</v>
      </c>
      <c r="B14" s="68">
        <f>189.59*B3</f>
        <v>568.77</v>
      </c>
      <c r="C14" s="66"/>
      <c r="G14" s="64">
        <v>4664.6899999999996</v>
      </c>
      <c r="H14" s="68"/>
      <c r="I14" s="67">
        <v>0.27500000000000002</v>
      </c>
      <c r="J14" s="64">
        <v>869.36</v>
      </c>
    </row>
    <row r="15" spans="1:10" ht="15.75" customHeight="1">
      <c r="A15" s="63"/>
      <c r="B15" s="68">
        <f ca="1">B11-B13-B14</f>
        <v>5393.7642354838699</v>
      </c>
      <c r="C15" s="66"/>
    </row>
    <row r="16" spans="1:10" ht="15.75" customHeight="1">
      <c r="A16" s="63" t="s">
        <v>48</v>
      </c>
      <c r="B16" s="68">
        <f ca="1">IF((B15)&lt;=H10,0,IF((B15)&lt;=H11,B15*I11-J11,IF((B15)&lt;=H12,B15*I12-J12,IF((B15)&lt;H13,B15*I13-J13,IF((B15)&gt;=G14,B15*I14-J14)))))</f>
        <v>613.9251647580644</v>
      </c>
      <c r="C16" s="66"/>
    </row>
    <row r="17" spans="1:8" ht="15.75" customHeight="1">
      <c r="A17" s="77" t="s">
        <v>49</v>
      </c>
      <c r="B17" s="78">
        <f ca="1">B11-B13-B16</f>
        <v>5348.6090707258063</v>
      </c>
      <c r="C17" s="66"/>
      <c r="G17" s="66"/>
      <c r="H17" s="69"/>
    </row>
    <row r="18" spans="1:8" ht="15.75" customHeight="1">
      <c r="A18" s="76"/>
      <c r="B18" s="76"/>
      <c r="C18" s="66"/>
      <c r="G18" s="66"/>
      <c r="H18" s="69"/>
    </row>
    <row r="19" spans="1:8" ht="15.75" customHeight="1">
      <c r="A19" s="63" t="s">
        <v>56</v>
      </c>
      <c r="B19" s="68">
        <f ca="1">B2/12*B9</f>
        <v>3638.333333333333</v>
      </c>
      <c r="C19" s="66"/>
      <c r="G19" s="66"/>
      <c r="H19" s="69"/>
    </row>
    <row r="20" spans="1:8" ht="15.75" customHeight="1">
      <c r="A20" s="63" t="s">
        <v>57</v>
      </c>
      <c r="B20" s="68">
        <f ca="1">IF(B19&lt;=$H$3,B19*$I$3,IF(B19&lt;=$H$4,$H$3*$I$3+(B19-$G$4)*$I$4,IF(B19&lt;=$H$5,$H$3*$I$3+($H$4-$G$4)*$I$4+(B19-$G$5)*$I$5,IF(B19&lt;=$H$6,$H$3*$I$3+($H$4-$G$4)*$I$4+($H$5-$G$5)*$I$5+(B19-$G$6)*$I$6,IF(B19&gt;=$H$6,$H$3*$I$3+($H$4-$G$4)*$I$4+($H$5-$G$5)*$I$5+(B19-$G$6)*$I$6)))))</f>
        <v>360.65436666666665</v>
      </c>
      <c r="C20" s="66"/>
      <c r="G20" s="66"/>
      <c r="H20" s="69"/>
    </row>
    <row r="21" spans="1:8" ht="15.75" customHeight="1">
      <c r="A21" s="63" t="s">
        <v>9</v>
      </c>
      <c r="B21" s="68">
        <f>189.59*B3</f>
        <v>568.77</v>
      </c>
      <c r="C21" s="66"/>
      <c r="G21" s="66"/>
      <c r="H21" s="69"/>
    </row>
    <row r="22" spans="1:8" ht="15.75" customHeight="1">
      <c r="A22" s="63" t="s">
        <v>74</v>
      </c>
      <c r="B22" s="68">
        <f ca="1">B19-B20-B21</f>
        <v>2708.9089666666664</v>
      </c>
    </row>
    <row r="23" spans="1:8" ht="15.75" customHeight="1">
      <c r="A23" s="63" t="s">
        <v>59</v>
      </c>
      <c r="B23" s="68">
        <f ca="1">IF((B22)&lt;=H10,0,IF((B22)&lt;=H11,(B22)*I11,IF((B22)&lt;=H12,(B22)*I12,IF((B22)&lt;H13,(B22)*I13,IF((B22)&gt;=G14,(B22)*I14)))))</f>
        <v>203.16817249999997</v>
      </c>
    </row>
    <row r="24" spans="1:8" ht="15.75" customHeight="1">
      <c r="A24" s="77" t="s">
        <v>70</v>
      </c>
      <c r="B24" s="78">
        <f ca="1">B19-B20-B23</f>
        <v>3074.5107941666665</v>
      </c>
    </row>
    <row r="25" spans="1:8" ht="15.75" customHeight="1">
      <c r="A25" s="76"/>
      <c r="B25" s="76"/>
    </row>
    <row r="26" spans="1:8" ht="15.75" customHeight="1">
      <c r="A26" s="63" t="s">
        <v>65</v>
      </c>
      <c r="B26" s="72">
        <f t="shared" ref="B26:B27" si="0">B5</f>
        <v>43700</v>
      </c>
      <c r="C26" s="72">
        <f t="shared" ref="C26:C27" si="1">IF(DAY(B26)&lt;15,DATE(YEAR(B26),MONTH(B26),1),EOMONTH(B26,0))</f>
        <v>43708</v>
      </c>
    </row>
    <row r="27" spans="1:8" ht="15.75" customHeight="1">
      <c r="A27" s="63" t="s">
        <v>66</v>
      </c>
      <c r="B27" s="71">
        <f t="shared" ca="1" si="0"/>
        <v>45070</v>
      </c>
      <c r="C27" s="71">
        <f t="shared" ca="1" si="1"/>
        <v>45077</v>
      </c>
    </row>
    <row r="28" spans="1:8" ht="15.75" customHeight="1">
      <c r="A28" s="63" t="s">
        <v>75</v>
      </c>
      <c r="B28" s="76">
        <f ca="1">IF(DATEDIF(B26,B27,"M")&gt;12,12,DATEDIF(B26,B27,"M"))</f>
        <v>12</v>
      </c>
    </row>
    <row r="29" spans="1:8" ht="15.75" customHeight="1">
      <c r="A29" s="63" t="s">
        <v>72</v>
      </c>
      <c r="B29" s="76">
        <f ca="1">30/12*B28</f>
        <v>30</v>
      </c>
    </row>
    <row r="30" spans="1:8" ht="15.75" customHeight="1">
      <c r="A30" s="63" t="s">
        <v>73</v>
      </c>
      <c r="B30" s="65">
        <f>Calculadora!$G$14</f>
        <v>30</v>
      </c>
    </row>
    <row r="31" spans="1:8" ht="15.75" customHeight="1">
      <c r="A31" s="76"/>
      <c r="B31" s="76"/>
    </row>
    <row r="32" spans="1:8" ht="15.75" customHeight="1">
      <c r="A32" s="77" t="s">
        <v>76</v>
      </c>
      <c r="B32" s="78">
        <f ca="1">($B$2/30*(B29-B30)+(($B$2/30*(B29-B30))/3))</f>
        <v>0</v>
      </c>
    </row>
    <row r="33" spans="1:5" ht="15.75" customHeight="1">
      <c r="A33" s="76"/>
      <c r="B33" s="76"/>
    </row>
    <row r="34" spans="1:5" ht="15.75" customHeight="1">
      <c r="A34" s="63" t="s">
        <v>77</v>
      </c>
      <c r="B34" s="76">
        <f ca="1">DATEDIF(B26,B27,"M")</f>
        <v>45</v>
      </c>
    </row>
    <row r="35" spans="1:5" ht="15.75" customHeight="1">
      <c r="A35" s="63" t="s">
        <v>78</v>
      </c>
      <c r="B35" s="76">
        <f ca="1">IF(B34&lt;12,30,IF(B34&lt;24,33,IF(B34&lt;36,36,IF(B34&lt;48,39,IF(B34&lt;60,42,IF(B34&lt;72,45,IF(B34&lt;84,48,48)))))))</f>
        <v>39</v>
      </c>
    </row>
    <row r="36" spans="1:5" ht="15.75" customHeight="1">
      <c r="A36" s="76"/>
      <c r="B36" s="76"/>
    </row>
    <row r="37" spans="1:5" ht="15.75" customHeight="1">
      <c r="A37" s="63" t="s">
        <v>79</v>
      </c>
      <c r="B37" s="72">
        <f ca="1">B6+1</f>
        <v>45071</v>
      </c>
      <c r="C37" s="68">
        <f ca="1">$B$2/E37*(E37-DAY(B37))</f>
        <v>1690.0645161290322</v>
      </c>
      <c r="D37" s="63" t="s">
        <v>80</v>
      </c>
      <c r="E37" s="76">
        <f t="shared" ref="E37:E38" ca="1" si="2">DAY(EOMONTH(B37,0))</f>
        <v>31</v>
      </c>
    </row>
    <row r="38" spans="1:5" ht="12.75">
      <c r="A38" s="63" t="s">
        <v>81</v>
      </c>
      <c r="B38" s="72">
        <f ca="1">B37+B35</f>
        <v>45110</v>
      </c>
      <c r="C38" s="68">
        <f ca="1">$B$2/E38*DAY(B38)</f>
        <v>845.0322580645161</v>
      </c>
      <c r="D38" s="63" t="s">
        <v>80</v>
      </c>
      <c r="E38" s="76">
        <f t="shared" ca="1" si="2"/>
        <v>31</v>
      </c>
    </row>
    <row r="39" spans="1:5" ht="12.75">
      <c r="A39" s="76"/>
      <c r="B39" s="76"/>
    </row>
    <row r="40" spans="1:5" ht="12.75">
      <c r="A40" s="77" t="s">
        <v>82</v>
      </c>
      <c r="B40" s="78">
        <f ca="1">IF(MONTH(B37)=MONTH(B38),C37,SUM(C37:C38))</f>
        <v>2535.0967741935483</v>
      </c>
    </row>
    <row r="41" spans="1:5" ht="12.75">
      <c r="A41" s="76"/>
      <c r="B41" s="76"/>
    </row>
    <row r="42" spans="1:5" ht="12.75">
      <c r="A42" s="63" t="s">
        <v>83</v>
      </c>
      <c r="B42" s="68">
        <f>Calculadora!$G$13*0.4</f>
        <v>20000</v>
      </c>
    </row>
    <row r="43" spans="1:5" ht="12.75">
      <c r="A43" s="63" t="s">
        <v>84</v>
      </c>
      <c r="B43" s="68">
        <f>Calculadora!$G$13</f>
        <v>50000</v>
      </c>
    </row>
    <row r="44" spans="1:5" ht="12.75">
      <c r="A44" s="77" t="s">
        <v>85</v>
      </c>
      <c r="B44" s="78">
        <f>B43+B42</f>
        <v>70000</v>
      </c>
      <c r="C44" s="66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workbookViewId="0"/>
  </sheetViews>
  <sheetFormatPr defaultColWidth="14.42578125" defaultRowHeight="15.75" customHeight="1"/>
  <cols>
    <col min="1" max="1" width="42.28515625" customWidth="1"/>
    <col min="4" max="4" width="11.7109375" customWidth="1"/>
  </cols>
  <sheetData>
    <row r="1" spans="1:10" ht="15.75" customHeight="1">
      <c r="E1" s="66"/>
    </row>
    <row r="2" spans="1:10" ht="14.25">
      <c r="A2" s="63" t="s">
        <v>6</v>
      </c>
      <c r="B2" s="64">
        <f>Calculadora!$D$12</f>
        <v>8732</v>
      </c>
      <c r="G2" s="70" t="s">
        <v>44</v>
      </c>
    </row>
    <row r="3" spans="1:10" ht="15.75" customHeight="1">
      <c r="A3" s="63" t="s">
        <v>45</v>
      </c>
      <c r="B3" s="65">
        <f>Calculadora!$D$13</f>
        <v>3</v>
      </c>
      <c r="G3" s="64">
        <v>0</v>
      </c>
      <c r="H3" s="64">
        <v>1100</v>
      </c>
      <c r="I3" s="67">
        <v>7.4999999999999997E-2</v>
      </c>
    </row>
    <row r="4" spans="1:10" ht="15.75" customHeight="1">
      <c r="A4" s="63" t="s">
        <v>46</v>
      </c>
      <c r="B4" s="63">
        <v>0</v>
      </c>
      <c r="G4" s="64">
        <v>1100.01</v>
      </c>
      <c r="H4" s="64">
        <v>2203.48</v>
      </c>
      <c r="I4" s="67">
        <v>0.09</v>
      </c>
    </row>
    <row r="5" spans="1:10" ht="15.75" customHeight="1">
      <c r="A5" s="63" t="s">
        <v>65</v>
      </c>
      <c r="B5" s="72">
        <f>Calculadora!$D$14</f>
        <v>43700</v>
      </c>
      <c r="C5" s="72">
        <f>IF(YEAR(B5)&lt;2021,DATE(2021,1,1),B5)</f>
        <v>44197</v>
      </c>
      <c r="D5" s="63" t="s">
        <v>53</v>
      </c>
      <c r="E5" s="65">
        <f>IF(DAY(C5)&lt;15,MONTH(C5),MONTH(C5)+1)</f>
        <v>1</v>
      </c>
      <c r="G5" s="64">
        <v>2203.4899999999998</v>
      </c>
      <c r="H5" s="64">
        <v>3305.22</v>
      </c>
      <c r="I5" s="67">
        <v>0.12</v>
      </c>
    </row>
    <row r="6" spans="1:10" ht="15.75" customHeight="1">
      <c r="A6" s="63" t="s">
        <v>66</v>
      </c>
      <c r="B6" s="72">
        <f ca="1">IFERROR(IF(Calculadora!$G$12=0,TODAY(),Calculadora!$G$12),TODAY())</f>
        <v>45070</v>
      </c>
      <c r="D6" s="63" t="s">
        <v>53</v>
      </c>
      <c r="E6" s="63">
        <f ca="1">IF(DAY(B6)&lt;15,MONTH(B6),MONTH(B6)+1)</f>
        <v>6</v>
      </c>
      <c r="G6" s="64">
        <v>3305.23</v>
      </c>
      <c r="H6" s="64">
        <v>6433.57</v>
      </c>
      <c r="I6" s="67">
        <v>0.14000000000000001</v>
      </c>
    </row>
    <row r="7" spans="1:10" ht="15.75" customHeight="1">
      <c r="A7" s="63" t="s">
        <v>67</v>
      </c>
      <c r="B7" s="76">
        <f ca="1">DAY(EOMONTH(B6,0))</f>
        <v>31</v>
      </c>
      <c r="G7" s="66"/>
      <c r="H7" s="66"/>
      <c r="I7" s="69"/>
    </row>
    <row r="8" spans="1:10" ht="15.75" customHeight="1">
      <c r="A8" s="63" t="s">
        <v>68</v>
      </c>
      <c r="B8" s="76">
        <f ca="1">DAY(B6)</f>
        <v>24</v>
      </c>
      <c r="G8" s="66"/>
      <c r="H8" s="66"/>
      <c r="I8" s="69"/>
    </row>
    <row r="9" spans="1:10" ht="14.25">
      <c r="A9" s="63" t="s">
        <v>55</v>
      </c>
      <c r="B9" s="74">
        <f ca="1">E6-E5</f>
        <v>5</v>
      </c>
      <c r="G9" s="70" t="s">
        <v>48</v>
      </c>
    </row>
    <row r="10" spans="1:10" ht="15.75" customHeight="1">
      <c r="A10" s="76"/>
      <c r="B10" s="76"/>
      <c r="F10" s="66"/>
      <c r="G10" s="64">
        <v>0</v>
      </c>
      <c r="H10" s="64">
        <v>1903.98</v>
      </c>
      <c r="I10" s="63" t="s">
        <v>51</v>
      </c>
      <c r="J10" s="64">
        <v>0</v>
      </c>
    </row>
    <row r="11" spans="1:10" ht="15.75" customHeight="1">
      <c r="A11" s="63" t="s">
        <v>69</v>
      </c>
      <c r="B11" s="68">
        <f ca="1">B2/B7*B8</f>
        <v>6760.2580645161288</v>
      </c>
      <c r="F11" s="66"/>
      <c r="G11" s="64">
        <v>1903.99</v>
      </c>
      <c r="H11" s="64">
        <v>2826.65</v>
      </c>
      <c r="I11" s="67">
        <v>7.4999999999999997E-2</v>
      </c>
      <c r="J11" s="64">
        <v>142.80000000000001</v>
      </c>
    </row>
    <row r="12" spans="1:10" ht="15.75" customHeight="1">
      <c r="A12" s="63" t="s">
        <v>46</v>
      </c>
      <c r="B12" s="64">
        <v>0</v>
      </c>
      <c r="F12" s="66"/>
      <c r="G12" s="64">
        <v>2826.66</v>
      </c>
      <c r="H12" s="64">
        <v>3751.05</v>
      </c>
      <c r="I12" s="67">
        <v>0.15</v>
      </c>
      <c r="J12" s="64">
        <v>354.8</v>
      </c>
    </row>
    <row r="13" spans="1:10" ht="15.75" customHeight="1">
      <c r="A13" s="63" t="s">
        <v>44</v>
      </c>
      <c r="B13" s="68">
        <f ca="1">IF(B11&lt;=$H$3,B11*$I$3,IF(B11&lt;=$H$4,$H$3*$I$3+(B11-$G$4)*$I$4,IF(B11&lt;=$H$5,$H$3*$I$3+($H$4-$G$4)*$I$4+(B11-$G$5)*$I$5,IF(B11&lt;=$H$6,$H$3*$I$3+($H$4-$G$4)*$I$4+($H$5-$G$5)*$I$5+(B11-$G$6)*$I$6,IF(B11&gt;=$H$6,$H$3*$I$3+($H$4-$G$4)*$I$4+($H$5-$G$5)*$I$5+(B11-$G$6)*$I$6)))))</f>
        <v>797.7238290322581</v>
      </c>
      <c r="F13" s="66"/>
      <c r="G13" s="64">
        <v>3751.06</v>
      </c>
      <c r="H13" s="64">
        <v>4664.68</v>
      </c>
      <c r="I13" s="67">
        <v>0.22500000000000001</v>
      </c>
      <c r="J13" s="64">
        <v>636.13</v>
      </c>
    </row>
    <row r="14" spans="1:10" ht="15.75" customHeight="1">
      <c r="A14" s="63" t="s">
        <v>9</v>
      </c>
      <c r="B14" s="68">
        <f>189.59*B3</f>
        <v>568.77</v>
      </c>
      <c r="F14" s="66"/>
      <c r="G14" s="64">
        <v>4664.6899999999996</v>
      </c>
      <c r="H14" s="68"/>
      <c r="I14" s="67">
        <v>0.27500000000000002</v>
      </c>
      <c r="J14" s="64">
        <v>869.36</v>
      </c>
    </row>
    <row r="15" spans="1:10" ht="15.75" customHeight="1">
      <c r="A15" s="63"/>
      <c r="B15" s="68">
        <f ca="1">B11-B13-B14</f>
        <v>5393.7642354838699</v>
      </c>
      <c r="F15" s="66"/>
    </row>
    <row r="16" spans="1:10" ht="15.75" customHeight="1">
      <c r="A16" s="63" t="s">
        <v>48</v>
      </c>
      <c r="B16" s="68">
        <f ca="1">IF((B15)&lt;=H10,0,IF((B15)&lt;=H11,B15*I11-J11,IF((B15)&lt;=H12,B15*I12-J12,IF((B15)&lt;H13,B15*I13-J13,IF((B15)&gt;=G14,B15*I14-J14)))))</f>
        <v>613.9251647580644</v>
      </c>
      <c r="F16" s="66"/>
      <c r="G16" s="66"/>
      <c r="H16" s="69"/>
    </row>
    <row r="17" spans="1:8" ht="15.75" customHeight="1">
      <c r="A17" s="77" t="s">
        <v>49</v>
      </c>
      <c r="B17" s="78">
        <f ca="1">B11-B13-B16</f>
        <v>5348.6090707258063</v>
      </c>
      <c r="F17" s="66"/>
      <c r="G17" s="66"/>
      <c r="H17" s="69"/>
    </row>
    <row r="18" spans="1:8" ht="15.75" customHeight="1">
      <c r="A18" s="76"/>
      <c r="B18" s="76"/>
      <c r="F18" s="66"/>
      <c r="G18" s="66"/>
      <c r="H18" s="69"/>
    </row>
    <row r="19" spans="1:8" ht="15.75" customHeight="1">
      <c r="A19" s="63" t="s">
        <v>56</v>
      </c>
      <c r="B19" s="68">
        <f ca="1">B2/12*B9</f>
        <v>3638.333333333333</v>
      </c>
      <c r="F19" s="66"/>
      <c r="G19" s="66"/>
      <c r="H19" s="69"/>
    </row>
    <row r="20" spans="1:8" ht="15.75" customHeight="1">
      <c r="A20" s="63" t="s">
        <v>57</v>
      </c>
      <c r="B20" s="68">
        <f ca="1">IF(B19&lt;=$H$3,B19*$I$3,IF(B19&lt;=$H$4,$H$3*$I$3+(B19-$G$4)*$I$4,IF(B19&lt;=$H$5,$H$3*$I$3+($H$4-$G$4)*$I$4+(B19-$G$5)*$I$5,IF(B19&lt;=$H$6,$H$3*$I$3+($H$4-$G$4)*$I$4+($H$5-$G$5)*$I$5+(B19-$G$6)*$I$6,IF(B19&gt;=$H$6,$H$3*$I$3+($H$4-$G$4)*$I$4+($H$5-$G$5)*$I$5+(B19-$G$6)*$I$6)))))</f>
        <v>360.65436666666665</v>
      </c>
      <c r="F20" s="66"/>
      <c r="G20" s="66"/>
      <c r="H20" s="69"/>
    </row>
    <row r="21" spans="1:8" ht="15.75" customHeight="1">
      <c r="A21" s="63" t="s">
        <v>74</v>
      </c>
      <c r="B21" s="68">
        <f ca="1">B19-B20</f>
        <v>3277.6789666666664</v>
      </c>
    </row>
    <row r="22" spans="1:8" ht="15.75" customHeight="1">
      <c r="A22" s="63" t="s">
        <v>59</v>
      </c>
      <c r="B22" s="68">
        <f ca="1">IF((B21)&lt;=H10,0,IF((B21)&lt;=H11,(B21)*I11,IF((B21)&lt;=H12,(B21)*I12,IF((B21)&lt;H13,(B21)*I13,IF((B21)&gt;=G14,(B21)*I14)))))</f>
        <v>491.65184499999992</v>
      </c>
    </row>
    <row r="23" spans="1:8" ht="15.75" customHeight="1">
      <c r="A23" s="77" t="s">
        <v>70</v>
      </c>
      <c r="B23" s="78">
        <f ca="1">B19-B20-B22</f>
        <v>2786.0271216666665</v>
      </c>
    </row>
    <row r="24" spans="1:8" ht="15.75" customHeight="1">
      <c r="A24" s="76"/>
      <c r="B24" s="76"/>
    </row>
    <row r="25" spans="1:8" ht="15.75" customHeight="1">
      <c r="A25" s="63" t="s">
        <v>65</v>
      </c>
      <c r="B25" s="72">
        <f t="shared" ref="B25:B26" si="0">B5</f>
        <v>43700</v>
      </c>
      <c r="C25" s="72">
        <f t="shared" ref="C25:C26" si="1">IF(DAY(B25)&lt;15,DATE(YEAR(B25),MONTH(B25),1),EOMONTH(B25,0))</f>
        <v>43708</v>
      </c>
    </row>
    <row r="26" spans="1:8" ht="15.75" customHeight="1">
      <c r="A26" s="63" t="s">
        <v>66</v>
      </c>
      <c r="B26" s="71">
        <f t="shared" ca="1" si="0"/>
        <v>45070</v>
      </c>
      <c r="C26" s="71">
        <f t="shared" ca="1" si="1"/>
        <v>45077</v>
      </c>
    </row>
    <row r="27" spans="1:8" ht="15.75" customHeight="1">
      <c r="A27" s="63" t="s">
        <v>75</v>
      </c>
      <c r="B27" s="76">
        <f ca="1">IF(DATEDIF(B25,B26,"M")&gt;12,12,DATEDIF(B25,B26,"M"))</f>
        <v>12</v>
      </c>
    </row>
    <row r="28" spans="1:8" ht="15.75" customHeight="1">
      <c r="A28" s="63" t="s">
        <v>72</v>
      </c>
      <c r="B28" s="76">
        <f ca="1">30/12*B27</f>
        <v>30</v>
      </c>
    </row>
    <row r="29" spans="1:8" ht="15.75" customHeight="1">
      <c r="A29" s="63" t="s">
        <v>73</v>
      </c>
      <c r="B29" s="65">
        <f>Calculadora!$G$14</f>
        <v>30</v>
      </c>
    </row>
    <row r="30" spans="1:8" ht="15.75" customHeight="1">
      <c r="A30" s="76"/>
      <c r="B30" s="76"/>
    </row>
    <row r="31" spans="1:8" ht="15.75" customHeight="1">
      <c r="A31" s="77" t="s">
        <v>76</v>
      </c>
      <c r="B31" s="78">
        <f ca="1">($B$2/30*(B28-B29)+(($B$2/30*(B28-B29))/3))</f>
        <v>0</v>
      </c>
    </row>
    <row r="32" spans="1:8" ht="15.75" customHeight="1">
      <c r="A32" s="76"/>
      <c r="B32" s="76"/>
    </row>
    <row r="33" spans="1:4" ht="15.75" customHeight="1">
      <c r="A33" s="63" t="s">
        <v>77</v>
      </c>
      <c r="B33" s="76">
        <f ca="1">DATEDIF(B25,B26,"M")</f>
        <v>45</v>
      </c>
    </row>
    <row r="34" spans="1:4" ht="15.75" customHeight="1">
      <c r="A34" s="63" t="s">
        <v>78</v>
      </c>
      <c r="B34" s="76">
        <f ca="1">IF(B33&lt;12,30,IF(B33&lt;24,33,IF(B33&lt;36,36,IF(B33&lt;48,39,IF(B33&lt;60,42,IF(B33&lt;72,45,IF(B33&lt;84,48,48)))))))</f>
        <v>39</v>
      </c>
    </row>
    <row r="35" spans="1:4" ht="15.75" customHeight="1">
      <c r="A35" s="76"/>
      <c r="B35" s="76"/>
    </row>
    <row r="36" spans="1:4" ht="15.75" customHeight="1">
      <c r="A36" s="63" t="s">
        <v>79</v>
      </c>
      <c r="B36" s="72">
        <f ca="1">B6+1</f>
        <v>45071</v>
      </c>
      <c r="C36" s="63" t="s">
        <v>80</v>
      </c>
      <c r="D36" s="76">
        <f t="shared" ref="D36:D37" ca="1" si="2">DAY(EOMONTH(B36,0))</f>
        <v>31</v>
      </c>
    </row>
    <row r="37" spans="1:4" ht="15.75" customHeight="1">
      <c r="A37" s="63" t="s">
        <v>81</v>
      </c>
      <c r="B37" s="72">
        <f ca="1">B36+B34</f>
        <v>45110</v>
      </c>
      <c r="C37" s="63" t="s">
        <v>80</v>
      </c>
      <c r="D37" s="76">
        <f t="shared" ca="1" si="2"/>
        <v>31</v>
      </c>
    </row>
    <row r="38" spans="1:4" ht="12.75">
      <c r="A38" s="76"/>
      <c r="B38" s="76"/>
    </row>
    <row r="39" spans="1:4" ht="12.75">
      <c r="A39" s="63" t="s">
        <v>86</v>
      </c>
      <c r="B39" s="68">
        <f ca="1">$B$2/D36*(D36-DAY(B36))</f>
        <v>1690.0645161290322</v>
      </c>
    </row>
    <row r="40" spans="1:4" ht="12.75">
      <c r="A40" s="63" t="s">
        <v>87</v>
      </c>
      <c r="B40" s="68">
        <f ca="1">$B$2/D37*DAY(B37)</f>
        <v>845.0322580645161</v>
      </c>
    </row>
    <row r="41" spans="1:4" ht="12.75">
      <c r="A41" s="77" t="s">
        <v>82</v>
      </c>
      <c r="B41" s="78">
        <f ca="1">(IF(MONTH(B36)=MONTH(B37),B39,SUM(B39:B40)))*0.5</f>
        <v>1267.5483870967741</v>
      </c>
    </row>
    <row r="42" spans="1:4" ht="12.75">
      <c r="A42" s="76"/>
      <c r="B42" s="76"/>
    </row>
    <row r="43" spans="1:4" ht="12.75">
      <c r="A43" s="63" t="s">
        <v>83</v>
      </c>
      <c r="B43" s="68">
        <f>Calculadora!G13*0.2</f>
        <v>10000</v>
      </c>
    </row>
    <row r="44" spans="1:4" ht="12.75">
      <c r="A44" s="77" t="s">
        <v>88</v>
      </c>
      <c r="B44" s="78">
        <f>(Calculadora!$G$13+B43)*0.8</f>
        <v>48000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Calculadora</vt:lpstr>
      <vt:lpstr>Desconto salarial</vt:lpstr>
      <vt:lpstr>13°</vt:lpstr>
      <vt:lpstr>Férias</vt:lpstr>
      <vt:lpstr>Demissão</vt:lpstr>
      <vt:lpstr>Demitido</vt:lpstr>
      <vt:lpstr>Acordo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 Luiz Pereira</cp:lastModifiedBy>
  <dcterms:created xsi:type="dcterms:W3CDTF">2021-12-17T23:02:50Z</dcterms:created>
  <dcterms:modified xsi:type="dcterms:W3CDTF">2023-05-24T15:06:58Z</dcterms:modified>
</cp:coreProperties>
</file>